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mc:AlternateContent xmlns:mc="http://schemas.openxmlformats.org/markup-compatibility/2006">
    <mc:Choice Requires="x15">
      <x15ac:absPath xmlns:x15ac="http://schemas.microsoft.com/office/spreadsheetml/2010/11/ac" url="C:\Users\info\Dropbox (vilnius economics)\Ve Team Folder\_Projektai\_VANDUO\Skuodo vandenys\_RAS 2019\Patikra\TU 8.1.2\"/>
    </mc:Choice>
  </mc:AlternateContent>
  <xr:revisionPtr revIDLastSave="0" documentId="13_ncr:1_{68AFA302-80CD-4D9B-B74F-51BEC1F782D0}" xr6:coauthVersionLast="45" xr6:coauthVersionMax="45" xr10:uidLastSave="{00000000-0000-0000-0000-000000000000}"/>
  <bookViews>
    <workbookView xWindow="-120" yWindow="-120" windowWidth="29040" windowHeight="15840" firstSheet="6" activeTab="10"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0" i="12" l="1"/>
  <c r="E185" i="12" s="1"/>
  <c r="E144" i="12"/>
  <c r="E130" i="12"/>
  <c r="E129" i="12" s="1"/>
  <c r="E83" i="12"/>
  <c r="E69" i="12"/>
  <c r="E62" i="12"/>
  <c r="J133" i="11"/>
  <c r="F133" i="11"/>
  <c r="D133" i="11" s="1"/>
  <c r="J132" i="11"/>
  <c r="F132" i="11"/>
  <c r="J131" i="11"/>
  <c r="F131" i="11"/>
  <c r="J130" i="11"/>
  <c r="F130" i="11"/>
  <c r="J129" i="11"/>
  <c r="F129" i="11"/>
  <c r="D129" i="11" s="1"/>
  <c r="J128" i="11"/>
  <c r="F128" i="11"/>
  <c r="J127" i="11"/>
  <c r="F127" i="11"/>
  <c r="J126" i="11"/>
  <c r="F126" i="11"/>
  <c r="J125" i="11"/>
  <c r="F125" i="11"/>
  <c r="D125" i="11" s="1"/>
  <c r="J124" i="11"/>
  <c r="F124" i="11"/>
  <c r="J123" i="11"/>
  <c r="F123" i="11"/>
  <c r="J122" i="11"/>
  <c r="F122" i="11"/>
  <c r="J121" i="11"/>
  <c r="F121" i="11"/>
  <c r="D121" i="11" s="1"/>
  <c r="J120" i="11"/>
  <c r="F120" i="11"/>
  <c r="J119" i="11"/>
  <c r="F119" i="11"/>
  <c r="P117" i="11"/>
  <c r="O117" i="11"/>
  <c r="N117" i="11"/>
  <c r="M117" i="11"/>
  <c r="L117" i="11"/>
  <c r="K117" i="11"/>
  <c r="I117" i="11"/>
  <c r="H117" i="11"/>
  <c r="G117" i="11"/>
  <c r="E117" i="11"/>
  <c r="P116" i="11"/>
  <c r="P31" i="11" s="1"/>
  <c r="O116" i="11"/>
  <c r="N116" i="11"/>
  <c r="M116" i="11"/>
  <c r="L116" i="11"/>
  <c r="K116" i="11"/>
  <c r="I116" i="11"/>
  <c r="H116" i="11"/>
  <c r="H31" i="11" s="1"/>
  <c r="G116" i="11"/>
  <c r="E116" i="11"/>
  <c r="P115" i="11"/>
  <c r="O115" i="11"/>
  <c r="N115" i="11"/>
  <c r="M115" i="11"/>
  <c r="L115" i="11"/>
  <c r="K115" i="11"/>
  <c r="K114" i="11" s="1"/>
  <c r="I115" i="11"/>
  <c r="I30" i="11" s="1"/>
  <c r="H115" i="11"/>
  <c r="G115" i="11"/>
  <c r="E115" i="11"/>
  <c r="D114" i="11"/>
  <c r="P113" i="11"/>
  <c r="O113" i="11"/>
  <c r="N113" i="11"/>
  <c r="M113" i="11"/>
  <c r="L113" i="11"/>
  <c r="K113" i="11"/>
  <c r="I113" i="11"/>
  <c r="H113" i="11"/>
  <c r="G113" i="11"/>
  <c r="E113" i="11"/>
  <c r="E111" i="11" s="1"/>
  <c r="P112" i="11"/>
  <c r="P111" i="11" s="1"/>
  <c r="O112" i="11"/>
  <c r="N112" i="11"/>
  <c r="M112" i="11"/>
  <c r="M27" i="11" s="1"/>
  <c r="L112" i="11"/>
  <c r="L111" i="11" s="1"/>
  <c r="K112" i="11"/>
  <c r="I112" i="11"/>
  <c r="H112" i="11"/>
  <c r="G112" i="11"/>
  <c r="G111" i="11" s="1"/>
  <c r="E112" i="11"/>
  <c r="M111" i="11"/>
  <c r="D111" i="11"/>
  <c r="P110" i="11"/>
  <c r="P25" i="11" s="1"/>
  <c r="O110" i="11"/>
  <c r="N110" i="11"/>
  <c r="M110" i="11"/>
  <c r="L110" i="11"/>
  <c r="K110" i="11"/>
  <c r="I110" i="11"/>
  <c r="H110" i="11"/>
  <c r="G110" i="11"/>
  <c r="G25" i="11" s="1"/>
  <c r="E110" i="11"/>
  <c r="P109" i="11"/>
  <c r="O109" i="11"/>
  <c r="O108" i="11" s="1"/>
  <c r="N109" i="11"/>
  <c r="M109" i="11"/>
  <c r="L109" i="11"/>
  <c r="K109" i="11"/>
  <c r="I109" i="11"/>
  <c r="H109" i="11"/>
  <c r="G109" i="11"/>
  <c r="E109" i="11"/>
  <c r="D108" i="11"/>
  <c r="P107" i="11"/>
  <c r="P106" i="11" s="1"/>
  <c r="O107" i="11"/>
  <c r="O106" i="11" s="1"/>
  <c r="N107" i="11"/>
  <c r="N106" i="11" s="1"/>
  <c r="M107" i="11"/>
  <c r="M106" i="11" s="1"/>
  <c r="L107" i="11"/>
  <c r="L106" i="11" s="1"/>
  <c r="K107" i="11"/>
  <c r="J107" i="11" s="1"/>
  <c r="I107" i="11"/>
  <c r="H107" i="11"/>
  <c r="H106" i="11" s="1"/>
  <c r="G107" i="11"/>
  <c r="G106" i="11" s="1"/>
  <c r="E107" i="11"/>
  <c r="E106" i="11" s="1"/>
  <c r="D106" i="11"/>
  <c r="P105" i="11"/>
  <c r="P19" i="11" s="1"/>
  <c r="O105" i="11"/>
  <c r="N105" i="11"/>
  <c r="M105" i="11"/>
  <c r="L105" i="11"/>
  <c r="K105" i="11"/>
  <c r="I105" i="11"/>
  <c r="H105" i="11"/>
  <c r="G105" i="11"/>
  <c r="G19" i="11" s="1"/>
  <c r="E105" i="11"/>
  <c r="P104" i="11"/>
  <c r="O104" i="11"/>
  <c r="N104" i="11"/>
  <c r="M104" i="11"/>
  <c r="L104" i="11"/>
  <c r="K104" i="11"/>
  <c r="I104" i="11"/>
  <c r="I18" i="11" s="1"/>
  <c r="H104" i="11"/>
  <c r="G104" i="11"/>
  <c r="E104" i="11"/>
  <c r="P103" i="11"/>
  <c r="O103" i="11"/>
  <c r="N103" i="11"/>
  <c r="M103" i="11"/>
  <c r="L103" i="11"/>
  <c r="K103" i="11"/>
  <c r="J103" i="11" s="1"/>
  <c r="I103" i="11"/>
  <c r="H103" i="11"/>
  <c r="G103" i="11"/>
  <c r="E103" i="11"/>
  <c r="P102" i="11"/>
  <c r="O102" i="11"/>
  <c r="N102" i="11"/>
  <c r="M102" i="11"/>
  <c r="L102" i="11"/>
  <c r="K102" i="11"/>
  <c r="I102" i="11"/>
  <c r="H102" i="11"/>
  <c r="G102" i="11"/>
  <c r="E102" i="11"/>
  <c r="D101" i="11"/>
  <c r="P100" i="11"/>
  <c r="O100" i="11"/>
  <c r="N100" i="11"/>
  <c r="M100" i="11"/>
  <c r="L100" i="11"/>
  <c r="K100" i="11"/>
  <c r="I100" i="11"/>
  <c r="H100" i="11"/>
  <c r="H14" i="11" s="1"/>
  <c r="G100" i="11"/>
  <c r="G97" i="11" s="1"/>
  <c r="E100" i="11"/>
  <c r="P99" i="11"/>
  <c r="O99" i="11"/>
  <c r="N99" i="11"/>
  <c r="M99" i="11"/>
  <c r="L99" i="11"/>
  <c r="K99" i="11"/>
  <c r="I99" i="11"/>
  <c r="H99" i="11"/>
  <c r="G99" i="11"/>
  <c r="E99" i="11"/>
  <c r="P98" i="11"/>
  <c r="O98" i="11"/>
  <c r="O97" i="11" s="1"/>
  <c r="N98" i="11"/>
  <c r="M98" i="11"/>
  <c r="L98" i="11"/>
  <c r="L97" i="11" s="1"/>
  <c r="K98" i="11"/>
  <c r="I98" i="11"/>
  <c r="H98" i="11"/>
  <c r="G98" i="11"/>
  <c r="E98" i="11"/>
  <c r="D97" i="11"/>
  <c r="J95" i="11"/>
  <c r="F95" i="11"/>
  <c r="D95" i="11" s="1"/>
  <c r="J94" i="11"/>
  <c r="F94" i="11"/>
  <c r="J93" i="11"/>
  <c r="F93" i="11"/>
  <c r="D93" i="11" s="1"/>
  <c r="J92" i="11"/>
  <c r="F92" i="11"/>
  <c r="J91" i="11"/>
  <c r="F91" i="11"/>
  <c r="J90" i="11"/>
  <c r="F90" i="11"/>
  <c r="J89" i="11"/>
  <c r="F89" i="11"/>
  <c r="J88" i="11"/>
  <c r="F88" i="11"/>
  <c r="J87" i="11"/>
  <c r="F87" i="11"/>
  <c r="J86" i="11"/>
  <c r="F86" i="11"/>
  <c r="J85" i="11"/>
  <c r="F85" i="11"/>
  <c r="D85" i="11" s="1"/>
  <c r="J84" i="11"/>
  <c r="F84" i="11"/>
  <c r="J83" i="11"/>
  <c r="F83" i="11"/>
  <c r="J82" i="11"/>
  <c r="F82" i="11"/>
  <c r="J81" i="11"/>
  <c r="F81" i="11"/>
  <c r="J80" i="11"/>
  <c r="F80" i="11"/>
  <c r="P78" i="11"/>
  <c r="P32" i="11" s="1"/>
  <c r="O78" i="11"/>
  <c r="N78" i="11"/>
  <c r="M78" i="11"/>
  <c r="L78" i="11"/>
  <c r="K78" i="11"/>
  <c r="J78" i="11" s="1"/>
  <c r="I78" i="11"/>
  <c r="I32" i="11" s="1"/>
  <c r="H78" i="11"/>
  <c r="H32" i="11" s="1"/>
  <c r="G78" i="11"/>
  <c r="E78" i="11"/>
  <c r="P77" i="11"/>
  <c r="O77" i="11"/>
  <c r="N77" i="11"/>
  <c r="M77" i="11"/>
  <c r="L77" i="11"/>
  <c r="K77" i="11"/>
  <c r="K31" i="11" s="1"/>
  <c r="I77" i="11"/>
  <c r="H77" i="11"/>
  <c r="G77" i="11"/>
  <c r="E77" i="11"/>
  <c r="P76" i="11"/>
  <c r="O76" i="11"/>
  <c r="N76" i="11"/>
  <c r="M76" i="11"/>
  <c r="L76" i="11"/>
  <c r="K76" i="11"/>
  <c r="I76" i="11"/>
  <c r="H76" i="11"/>
  <c r="G76" i="11"/>
  <c r="E76" i="11"/>
  <c r="D75" i="11"/>
  <c r="P74" i="11"/>
  <c r="P28" i="11" s="1"/>
  <c r="O74" i="11"/>
  <c r="N74" i="11"/>
  <c r="M74" i="11"/>
  <c r="M28" i="11" s="1"/>
  <c r="L74" i="11"/>
  <c r="K74" i="11"/>
  <c r="I74" i="11"/>
  <c r="I28" i="11" s="1"/>
  <c r="H74" i="11"/>
  <c r="G74" i="11"/>
  <c r="G28" i="11" s="1"/>
  <c r="E74" i="11"/>
  <c r="P73" i="11"/>
  <c r="O73" i="11"/>
  <c r="N73" i="11"/>
  <c r="M73" i="11"/>
  <c r="L73" i="11"/>
  <c r="K73" i="11"/>
  <c r="K27" i="11" s="1"/>
  <c r="I73" i="11"/>
  <c r="H73" i="11"/>
  <c r="G73" i="11"/>
  <c r="E73" i="11"/>
  <c r="D72" i="11"/>
  <c r="P71" i="11"/>
  <c r="O71" i="11"/>
  <c r="O25" i="11" s="1"/>
  <c r="N71" i="11"/>
  <c r="N69" i="11" s="1"/>
  <c r="M71" i="11"/>
  <c r="L71" i="11"/>
  <c r="L69" i="11" s="1"/>
  <c r="K71" i="11"/>
  <c r="I71" i="11"/>
  <c r="F71" i="11" s="1"/>
  <c r="H71" i="11"/>
  <c r="G71" i="11"/>
  <c r="E71" i="11"/>
  <c r="E25" i="11" s="1"/>
  <c r="P70" i="11"/>
  <c r="P69" i="11" s="1"/>
  <c r="O70" i="11"/>
  <c r="N70" i="11"/>
  <c r="N24" i="11" s="1"/>
  <c r="M70" i="11"/>
  <c r="L70" i="11"/>
  <c r="L24" i="11" s="1"/>
  <c r="K70" i="11"/>
  <c r="I70" i="11"/>
  <c r="H70" i="11"/>
  <c r="H24" i="11" s="1"/>
  <c r="G70" i="11"/>
  <c r="E70" i="11"/>
  <c r="D69" i="11"/>
  <c r="P68" i="11"/>
  <c r="P22" i="11" s="1"/>
  <c r="O68" i="11"/>
  <c r="O22" i="11" s="1"/>
  <c r="N68" i="11"/>
  <c r="N22" i="11" s="1"/>
  <c r="M68" i="11"/>
  <c r="M22" i="11" s="1"/>
  <c r="L68" i="11"/>
  <c r="L22" i="11" s="1"/>
  <c r="K68" i="11"/>
  <c r="K22" i="11" s="1"/>
  <c r="I68" i="11"/>
  <c r="H68" i="11"/>
  <c r="H22" i="11" s="1"/>
  <c r="G68" i="11"/>
  <c r="G22" i="11" s="1"/>
  <c r="E68" i="11"/>
  <c r="P67" i="11"/>
  <c r="O67" i="11"/>
  <c r="O66" i="11" s="1"/>
  <c r="N67" i="11"/>
  <c r="N21" i="11" s="1"/>
  <c r="M67" i="11"/>
  <c r="L67" i="11"/>
  <c r="K67" i="11"/>
  <c r="I67" i="11"/>
  <c r="H67" i="11"/>
  <c r="G67" i="11"/>
  <c r="E67" i="11"/>
  <c r="E66" i="11" s="1"/>
  <c r="D66" i="11"/>
  <c r="P65" i="11"/>
  <c r="O65" i="11"/>
  <c r="N65" i="11"/>
  <c r="M65" i="11"/>
  <c r="L65" i="11"/>
  <c r="K65" i="11"/>
  <c r="I65" i="11"/>
  <c r="I19" i="11" s="1"/>
  <c r="H65" i="11"/>
  <c r="H19" i="11" s="1"/>
  <c r="G65" i="11"/>
  <c r="E65" i="11"/>
  <c r="P64" i="11"/>
  <c r="O64" i="11"/>
  <c r="O18" i="11" s="1"/>
  <c r="N64" i="11"/>
  <c r="M64" i="11"/>
  <c r="L64" i="11"/>
  <c r="L18" i="11" s="1"/>
  <c r="K64" i="11"/>
  <c r="K18" i="11" s="1"/>
  <c r="I64" i="11"/>
  <c r="H64" i="11"/>
  <c r="G64" i="11"/>
  <c r="E64" i="11"/>
  <c r="E18" i="11" s="1"/>
  <c r="P63" i="11"/>
  <c r="O63" i="11"/>
  <c r="N63" i="11"/>
  <c r="N17" i="11" s="1"/>
  <c r="M63" i="11"/>
  <c r="M17" i="11" s="1"/>
  <c r="L63" i="11"/>
  <c r="K63" i="11"/>
  <c r="I63" i="11"/>
  <c r="H63" i="11"/>
  <c r="H17" i="11" s="1"/>
  <c r="G63" i="11"/>
  <c r="E63" i="11"/>
  <c r="P62" i="11"/>
  <c r="P16" i="11" s="1"/>
  <c r="O62" i="11"/>
  <c r="O61" i="11" s="1"/>
  <c r="N62" i="11"/>
  <c r="N16" i="11" s="1"/>
  <c r="M62" i="11"/>
  <c r="L62" i="11"/>
  <c r="K62" i="11"/>
  <c r="I62" i="11"/>
  <c r="H62" i="11"/>
  <c r="G62" i="11"/>
  <c r="G61" i="11" s="1"/>
  <c r="E62" i="11"/>
  <c r="D61" i="11"/>
  <c r="P60" i="11"/>
  <c r="O60" i="11"/>
  <c r="O14" i="11" s="1"/>
  <c r="N60" i="11"/>
  <c r="M60" i="11"/>
  <c r="L60" i="11"/>
  <c r="K60" i="11"/>
  <c r="I60" i="11"/>
  <c r="I14" i="11" s="1"/>
  <c r="H60" i="11"/>
  <c r="G60" i="11"/>
  <c r="E60" i="11"/>
  <c r="P59" i="11"/>
  <c r="O59" i="11"/>
  <c r="N59" i="11"/>
  <c r="N13" i="11" s="1"/>
  <c r="M59" i="11"/>
  <c r="M13" i="11" s="1"/>
  <c r="L59" i="11"/>
  <c r="K59" i="11"/>
  <c r="I59" i="11"/>
  <c r="H59" i="11"/>
  <c r="G59" i="11"/>
  <c r="E59" i="11"/>
  <c r="P58" i="11"/>
  <c r="P12" i="11" s="1"/>
  <c r="O58" i="11"/>
  <c r="O12" i="11" s="1"/>
  <c r="N58" i="11"/>
  <c r="M58" i="11"/>
  <c r="L58" i="11"/>
  <c r="K58" i="11"/>
  <c r="J58" i="11" s="1"/>
  <c r="I58" i="11"/>
  <c r="H58" i="11"/>
  <c r="G58" i="11"/>
  <c r="G12" i="11" s="1"/>
  <c r="E58" i="11"/>
  <c r="D57" i="11"/>
  <c r="J55" i="11"/>
  <c r="F55" i="11"/>
  <c r="D55" i="11" s="1"/>
  <c r="J54" i="11"/>
  <c r="D54" i="11" s="1"/>
  <c r="F54" i="11"/>
  <c r="J53" i="11"/>
  <c r="F53" i="11"/>
  <c r="P52" i="11"/>
  <c r="O52" i="11"/>
  <c r="N52" i="11"/>
  <c r="M52" i="11"/>
  <c r="L52" i="11"/>
  <c r="K52" i="11"/>
  <c r="I52" i="11"/>
  <c r="H52" i="11"/>
  <c r="G52" i="11"/>
  <c r="E52" i="11"/>
  <c r="J51" i="11"/>
  <c r="F51" i="11"/>
  <c r="J50" i="11"/>
  <c r="F50" i="11"/>
  <c r="P49" i="11"/>
  <c r="O49" i="11"/>
  <c r="N49" i="11"/>
  <c r="M49" i="11"/>
  <c r="L49" i="11"/>
  <c r="K49" i="11"/>
  <c r="I49" i="11"/>
  <c r="H49" i="11"/>
  <c r="G49" i="11"/>
  <c r="E49" i="11"/>
  <c r="J48" i="11"/>
  <c r="F48" i="11"/>
  <c r="J47" i="11"/>
  <c r="F47" i="11"/>
  <c r="P46" i="11"/>
  <c r="O46" i="11"/>
  <c r="N46" i="11"/>
  <c r="M46" i="11"/>
  <c r="L46" i="11"/>
  <c r="K46" i="11"/>
  <c r="I46" i="11"/>
  <c r="H46" i="11"/>
  <c r="G46" i="11"/>
  <c r="E46" i="11"/>
  <c r="J45" i="11"/>
  <c r="F45" i="11"/>
  <c r="D45" i="11" s="1"/>
  <c r="J44" i="11"/>
  <c r="F44" i="11"/>
  <c r="P43" i="11"/>
  <c r="O43" i="11"/>
  <c r="N43" i="11"/>
  <c r="M43" i="11"/>
  <c r="L43" i="11"/>
  <c r="K43" i="11"/>
  <c r="J43" i="11" s="1"/>
  <c r="I43" i="11"/>
  <c r="H43" i="11"/>
  <c r="G43" i="11"/>
  <c r="E43" i="11"/>
  <c r="J42" i="11"/>
  <c r="F42" i="11"/>
  <c r="J41" i="11"/>
  <c r="F41" i="11"/>
  <c r="J40" i="11"/>
  <c r="F40" i="11"/>
  <c r="J39" i="11"/>
  <c r="F39" i="11"/>
  <c r="D39" i="11" s="1"/>
  <c r="P38" i="11"/>
  <c r="O38" i="11"/>
  <c r="N38" i="11"/>
  <c r="M38" i="11"/>
  <c r="L38" i="11"/>
  <c r="K38" i="11"/>
  <c r="I38" i="11"/>
  <c r="H38" i="11"/>
  <c r="G38" i="11"/>
  <c r="E38" i="11"/>
  <c r="J37" i="11"/>
  <c r="F37" i="11"/>
  <c r="J36" i="11"/>
  <c r="F36" i="11"/>
  <c r="J35" i="11"/>
  <c r="F35" i="11"/>
  <c r="P34" i="11"/>
  <c r="O34" i="11"/>
  <c r="N34" i="11"/>
  <c r="M34" i="11"/>
  <c r="L34" i="11"/>
  <c r="K34" i="11"/>
  <c r="I34" i="11"/>
  <c r="H34" i="11"/>
  <c r="G34" i="11"/>
  <c r="E34" i="11"/>
  <c r="O32" i="11"/>
  <c r="K32" i="11"/>
  <c r="G32" i="11"/>
  <c r="N31" i="11"/>
  <c r="L28" i="11"/>
  <c r="H27" i="11"/>
  <c r="I25" i="11"/>
  <c r="H25" i="11"/>
  <c r="E22" i="11"/>
  <c r="I21" i="11"/>
  <c r="G18" i="11"/>
  <c r="K16" i="11"/>
  <c r="K14" i="11"/>
  <c r="E80" i="10"/>
  <c r="E76" i="10"/>
  <c r="E69" i="10"/>
  <c r="E68" i="10" s="1"/>
  <c r="E52" i="10"/>
  <c r="E49" i="10"/>
  <c r="E39" i="10"/>
  <c r="E38" i="10" s="1"/>
  <c r="E32" i="10"/>
  <c r="E52" i="8" s="1"/>
  <c r="E30" i="10"/>
  <c r="E29" i="10"/>
  <c r="E28" i="10"/>
  <c r="E26" i="10"/>
  <c r="E62" i="10" s="1"/>
  <c r="E17" i="10"/>
  <c r="E16" i="10" s="1"/>
  <c r="E34" i="9"/>
  <c r="E33" i="9" s="1"/>
  <c r="E32" i="9"/>
  <c r="E31" i="9" s="1"/>
  <c r="E17" i="9"/>
  <c r="E13" i="9"/>
  <c r="E55" i="8"/>
  <c r="E54" i="8" s="1"/>
  <c r="E53" i="8"/>
  <c r="E51" i="8"/>
  <c r="E50" i="8" s="1"/>
  <c r="E49" i="8"/>
  <c r="E48" i="8"/>
  <c r="E46" i="8"/>
  <c r="E45" i="8"/>
  <c r="E44" i="8"/>
  <c r="E36" i="8"/>
  <c r="E35" i="8"/>
  <c r="E34" i="8"/>
  <c r="E33" i="8"/>
  <c r="E31" i="8"/>
  <c r="E30" i="8"/>
  <c r="E29" i="8"/>
  <c r="E19" i="8"/>
  <c r="E11" i="8"/>
  <c r="J133" i="7"/>
  <c r="F133" i="7"/>
  <c r="J132" i="7"/>
  <c r="F132" i="7"/>
  <c r="D132" i="7" s="1"/>
  <c r="J131" i="7"/>
  <c r="F131" i="7"/>
  <c r="J130" i="7"/>
  <c r="F130" i="7"/>
  <c r="J129" i="7"/>
  <c r="F129" i="7"/>
  <c r="J128" i="7"/>
  <c r="F128" i="7"/>
  <c r="J127" i="7"/>
  <c r="F127" i="7"/>
  <c r="J126" i="7"/>
  <c r="F126" i="7"/>
  <c r="D126" i="7"/>
  <c r="J125" i="7"/>
  <c r="F125" i="7"/>
  <c r="J124" i="7"/>
  <c r="D124" i="7" s="1"/>
  <c r="F124" i="7"/>
  <c r="J123" i="7"/>
  <c r="F123" i="7"/>
  <c r="J122" i="7"/>
  <c r="F122" i="7"/>
  <c r="J121" i="7"/>
  <c r="F121" i="7"/>
  <c r="J120" i="7"/>
  <c r="F120" i="7"/>
  <c r="J119" i="7"/>
  <c r="F119" i="7"/>
  <c r="P117" i="7"/>
  <c r="O117" i="7"/>
  <c r="N117" i="7"/>
  <c r="N32" i="7" s="1"/>
  <c r="M117" i="7"/>
  <c r="J117" i="7" s="1"/>
  <c r="L117" i="7"/>
  <c r="K117" i="7"/>
  <c r="I117" i="7"/>
  <c r="H117" i="7"/>
  <c r="G117" i="7"/>
  <c r="E117" i="7"/>
  <c r="E32" i="7" s="1"/>
  <c r="P116" i="7"/>
  <c r="O116" i="7"/>
  <c r="N116" i="7"/>
  <c r="M116" i="7"/>
  <c r="L116" i="7"/>
  <c r="K116" i="7"/>
  <c r="I116" i="7"/>
  <c r="H116" i="7"/>
  <c r="H31" i="7" s="1"/>
  <c r="G116" i="7"/>
  <c r="G31" i="7" s="1"/>
  <c r="E116" i="7"/>
  <c r="P115" i="7"/>
  <c r="O115" i="7"/>
  <c r="N115" i="7"/>
  <c r="M115" i="7"/>
  <c r="L115" i="7"/>
  <c r="K115" i="7"/>
  <c r="K114" i="7" s="1"/>
  <c r="I115" i="7"/>
  <c r="H115" i="7"/>
  <c r="G115" i="7"/>
  <c r="E115" i="7"/>
  <c r="D114" i="7"/>
  <c r="P113" i="7"/>
  <c r="O113" i="7"/>
  <c r="N113" i="7"/>
  <c r="N111" i="7" s="1"/>
  <c r="M113" i="7"/>
  <c r="L113" i="7"/>
  <c r="K113" i="7"/>
  <c r="I113" i="7"/>
  <c r="H113" i="7"/>
  <c r="G113" i="7"/>
  <c r="E113" i="7"/>
  <c r="P112" i="7"/>
  <c r="P111" i="7" s="1"/>
  <c r="O112" i="7"/>
  <c r="O111" i="7" s="1"/>
  <c r="N112" i="7"/>
  <c r="M112" i="7"/>
  <c r="L112" i="7"/>
  <c r="K112" i="7"/>
  <c r="K111" i="7" s="1"/>
  <c r="I112" i="7"/>
  <c r="H112" i="7"/>
  <c r="G112" i="7"/>
  <c r="G111" i="7" s="1"/>
  <c r="E112" i="7"/>
  <c r="E111" i="7" s="1"/>
  <c r="D111" i="7"/>
  <c r="P110" i="7"/>
  <c r="O110" i="7"/>
  <c r="N110" i="7"/>
  <c r="M110" i="7"/>
  <c r="L110" i="7"/>
  <c r="K110" i="7"/>
  <c r="I110" i="7"/>
  <c r="I108" i="7" s="1"/>
  <c r="H110" i="7"/>
  <c r="G110" i="7"/>
  <c r="E110" i="7"/>
  <c r="P109" i="7"/>
  <c r="P108" i="7" s="1"/>
  <c r="O109" i="7"/>
  <c r="N109" i="7"/>
  <c r="M109" i="7"/>
  <c r="L109" i="7"/>
  <c r="K109" i="7"/>
  <c r="I109" i="7"/>
  <c r="H109" i="7"/>
  <c r="H108" i="7" s="1"/>
  <c r="G109" i="7"/>
  <c r="G108" i="7" s="1"/>
  <c r="E109" i="7"/>
  <c r="D108" i="7"/>
  <c r="P107" i="7"/>
  <c r="P106" i="7" s="1"/>
  <c r="O107" i="7"/>
  <c r="O106" i="7" s="1"/>
  <c r="N107" i="7"/>
  <c r="N106" i="7" s="1"/>
  <c r="M107" i="7"/>
  <c r="M106" i="7" s="1"/>
  <c r="L107" i="7"/>
  <c r="L106" i="7" s="1"/>
  <c r="K107" i="7"/>
  <c r="I107" i="7"/>
  <c r="I106" i="7" s="1"/>
  <c r="H107" i="7"/>
  <c r="H21" i="7" s="1"/>
  <c r="G107" i="7"/>
  <c r="G106" i="7" s="1"/>
  <c r="E107" i="7"/>
  <c r="E106" i="7" s="1"/>
  <c r="K106" i="7"/>
  <c r="D106" i="7"/>
  <c r="P105" i="7"/>
  <c r="O105" i="7"/>
  <c r="N105" i="7"/>
  <c r="M105" i="7"/>
  <c r="L105" i="7"/>
  <c r="L19" i="7" s="1"/>
  <c r="K105" i="7"/>
  <c r="I105" i="7"/>
  <c r="H105" i="7"/>
  <c r="G105" i="7"/>
  <c r="E105" i="7"/>
  <c r="P104" i="7"/>
  <c r="O104" i="7"/>
  <c r="N104" i="7"/>
  <c r="M104" i="7"/>
  <c r="L104" i="7"/>
  <c r="K104" i="7"/>
  <c r="I104" i="7"/>
  <c r="H104" i="7"/>
  <c r="G104" i="7"/>
  <c r="E104" i="7"/>
  <c r="E18" i="7" s="1"/>
  <c r="P103" i="7"/>
  <c r="P17" i="7" s="1"/>
  <c r="O103" i="7"/>
  <c r="N103" i="7"/>
  <c r="M103" i="7"/>
  <c r="L103" i="7"/>
  <c r="K103" i="7"/>
  <c r="I103" i="7"/>
  <c r="H103" i="7"/>
  <c r="G103" i="7"/>
  <c r="G17" i="7" s="1"/>
  <c r="E103" i="7"/>
  <c r="P102" i="7"/>
  <c r="O102" i="7"/>
  <c r="N102" i="7"/>
  <c r="M102" i="7"/>
  <c r="L102" i="7"/>
  <c r="K102" i="7"/>
  <c r="I102" i="7"/>
  <c r="I101" i="7" s="1"/>
  <c r="H102" i="7"/>
  <c r="G102" i="7"/>
  <c r="E102" i="7"/>
  <c r="D101" i="7"/>
  <c r="P100" i="7"/>
  <c r="O100" i="7"/>
  <c r="N100" i="7"/>
  <c r="N14" i="7" s="1"/>
  <c r="M100" i="7"/>
  <c r="L100" i="7"/>
  <c r="K100" i="7"/>
  <c r="I100" i="7"/>
  <c r="H100" i="7"/>
  <c r="G100" i="7"/>
  <c r="E100" i="7"/>
  <c r="P99" i="7"/>
  <c r="O99" i="7"/>
  <c r="O13" i="7" s="1"/>
  <c r="N99" i="7"/>
  <c r="M99" i="7"/>
  <c r="L99" i="7"/>
  <c r="K99" i="7"/>
  <c r="I99" i="7"/>
  <c r="H99" i="7"/>
  <c r="G99" i="7"/>
  <c r="E99" i="7"/>
  <c r="E13" i="7" s="1"/>
  <c r="P98" i="7"/>
  <c r="O98" i="7"/>
  <c r="N98" i="7"/>
  <c r="M98" i="7"/>
  <c r="L98" i="7"/>
  <c r="K98" i="7"/>
  <c r="I98" i="7"/>
  <c r="I12" i="7" s="1"/>
  <c r="H98" i="7"/>
  <c r="H12" i="7" s="1"/>
  <c r="G98" i="7"/>
  <c r="E98" i="7"/>
  <c r="D97" i="7"/>
  <c r="J95" i="7"/>
  <c r="F95" i="7"/>
  <c r="J94" i="7"/>
  <c r="F94" i="7"/>
  <c r="J93" i="7"/>
  <c r="F93" i="7"/>
  <c r="J92" i="7"/>
  <c r="F92" i="7"/>
  <c r="D92" i="7"/>
  <c r="J91" i="7"/>
  <c r="F91" i="7"/>
  <c r="J90" i="7"/>
  <c r="F90" i="7"/>
  <c r="J89" i="7"/>
  <c r="F89" i="7"/>
  <c r="J88" i="7"/>
  <c r="F88" i="7"/>
  <c r="J87" i="7"/>
  <c r="F87" i="7"/>
  <c r="J86" i="7"/>
  <c r="F86" i="7"/>
  <c r="J85" i="7"/>
  <c r="F85" i="7"/>
  <c r="J84" i="7"/>
  <c r="F84" i="7"/>
  <c r="J83" i="7"/>
  <c r="F83" i="7"/>
  <c r="J82" i="7"/>
  <c r="F82" i="7"/>
  <c r="J81" i="7"/>
  <c r="F81" i="7"/>
  <c r="J80" i="7"/>
  <c r="F80" i="7"/>
  <c r="D80" i="7" s="1"/>
  <c r="P78" i="7"/>
  <c r="P32" i="7" s="1"/>
  <c r="O78" i="7"/>
  <c r="N78" i="7"/>
  <c r="M78" i="7"/>
  <c r="L78" i="7"/>
  <c r="L75" i="7" s="1"/>
  <c r="K78" i="7"/>
  <c r="K32" i="7" s="1"/>
  <c r="I78" i="7"/>
  <c r="I32" i="7" s="1"/>
  <c r="H78" i="7"/>
  <c r="G78" i="7"/>
  <c r="E78" i="7"/>
  <c r="P77" i="7"/>
  <c r="P31" i="7" s="1"/>
  <c r="O77" i="7"/>
  <c r="N77" i="7"/>
  <c r="M77" i="7"/>
  <c r="L77" i="7"/>
  <c r="K77" i="7"/>
  <c r="K31" i="7" s="1"/>
  <c r="I77" i="7"/>
  <c r="H77" i="7"/>
  <c r="G77" i="7"/>
  <c r="E77" i="7"/>
  <c r="P76" i="7"/>
  <c r="P30" i="7" s="1"/>
  <c r="O76" i="7"/>
  <c r="N76" i="7"/>
  <c r="M76" i="7"/>
  <c r="L76" i="7"/>
  <c r="K76" i="7"/>
  <c r="I76" i="7"/>
  <c r="H76" i="7"/>
  <c r="G76" i="7"/>
  <c r="E76" i="7"/>
  <c r="D75" i="7"/>
  <c r="P74" i="7"/>
  <c r="P28" i="7" s="1"/>
  <c r="O74" i="7"/>
  <c r="N74" i="7"/>
  <c r="M74" i="7"/>
  <c r="M28" i="7" s="1"/>
  <c r="L74" i="7"/>
  <c r="L72" i="7" s="1"/>
  <c r="K74" i="7"/>
  <c r="I74" i="7"/>
  <c r="I28" i="7" s="1"/>
  <c r="H74" i="7"/>
  <c r="H72" i="7" s="1"/>
  <c r="G74" i="7"/>
  <c r="G28" i="7" s="1"/>
  <c r="E74" i="7"/>
  <c r="P73" i="7"/>
  <c r="O73" i="7"/>
  <c r="O72" i="7" s="1"/>
  <c r="N73" i="7"/>
  <c r="M73" i="7"/>
  <c r="L73" i="7"/>
  <c r="L27" i="7" s="1"/>
  <c r="K73" i="7"/>
  <c r="I73" i="7"/>
  <c r="I72" i="7" s="1"/>
  <c r="H73" i="7"/>
  <c r="G73" i="7"/>
  <c r="E73" i="7"/>
  <c r="E72" i="7" s="1"/>
  <c r="D72" i="7"/>
  <c r="P71" i="7"/>
  <c r="O71" i="7"/>
  <c r="N71" i="7"/>
  <c r="M71" i="7"/>
  <c r="M25" i="7" s="1"/>
  <c r="L71" i="7"/>
  <c r="L25" i="7" s="1"/>
  <c r="K71" i="7"/>
  <c r="I71" i="7"/>
  <c r="H71" i="7"/>
  <c r="H25" i="7" s="1"/>
  <c r="G71" i="7"/>
  <c r="E71" i="7"/>
  <c r="P70" i="7"/>
  <c r="O70" i="7"/>
  <c r="O24" i="7" s="1"/>
  <c r="N70" i="7"/>
  <c r="M70" i="7"/>
  <c r="L70" i="7"/>
  <c r="L24" i="7" s="1"/>
  <c r="K70" i="7"/>
  <c r="I70" i="7"/>
  <c r="H70" i="7"/>
  <c r="H69" i="7" s="1"/>
  <c r="G70" i="7"/>
  <c r="E70" i="7"/>
  <c r="E24" i="7" s="1"/>
  <c r="G69" i="7"/>
  <c r="D69" i="7"/>
  <c r="P68" i="7"/>
  <c r="O68" i="7"/>
  <c r="N68" i="7"/>
  <c r="M68" i="7"/>
  <c r="M22" i="7" s="1"/>
  <c r="L68" i="7"/>
  <c r="K68" i="7"/>
  <c r="K22" i="7" s="1"/>
  <c r="I68" i="7"/>
  <c r="I22" i="7" s="1"/>
  <c r="H68" i="7"/>
  <c r="H22" i="7" s="1"/>
  <c r="G68" i="7"/>
  <c r="E68" i="7"/>
  <c r="P67" i="7"/>
  <c r="O67" i="7"/>
  <c r="N67" i="7"/>
  <c r="M67" i="7"/>
  <c r="L67" i="7"/>
  <c r="K67" i="7"/>
  <c r="I67" i="7"/>
  <c r="H67" i="7"/>
  <c r="G67" i="7"/>
  <c r="F67" i="7" s="1"/>
  <c r="E67" i="7"/>
  <c r="D66" i="7"/>
  <c r="P65" i="7"/>
  <c r="O65" i="7"/>
  <c r="N65" i="7"/>
  <c r="N19" i="7" s="1"/>
  <c r="M65" i="7"/>
  <c r="L65" i="7"/>
  <c r="K65" i="7"/>
  <c r="I65" i="7"/>
  <c r="H65" i="7"/>
  <c r="G65" i="7"/>
  <c r="E65" i="7"/>
  <c r="P64" i="7"/>
  <c r="O64" i="7"/>
  <c r="N64" i="7"/>
  <c r="M64" i="7"/>
  <c r="L64" i="7"/>
  <c r="K64" i="7"/>
  <c r="I64" i="7"/>
  <c r="H64" i="7"/>
  <c r="G64" i="7"/>
  <c r="E64" i="7"/>
  <c r="P63" i="7"/>
  <c r="O63" i="7"/>
  <c r="N63" i="7"/>
  <c r="N17" i="7" s="1"/>
  <c r="M63" i="7"/>
  <c r="M17" i="7" s="1"/>
  <c r="L63" i="7"/>
  <c r="K63" i="7"/>
  <c r="I63" i="7"/>
  <c r="H63" i="7"/>
  <c r="G63" i="7"/>
  <c r="E63" i="7"/>
  <c r="P62" i="7"/>
  <c r="P61" i="7" s="1"/>
  <c r="O62" i="7"/>
  <c r="O61" i="7" s="1"/>
  <c r="N62" i="7"/>
  <c r="M62" i="7"/>
  <c r="L62" i="7"/>
  <c r="K62" i="7"/>
  <c r="K16" i="7" s="1"/>
  <c r="I62" i="7"/>
  <c r="H62" i="7"/>
  <c r="G62" i="7"/>
  <c r="E62" i="7"/>
  <c r="D61" i="7"/>
  <c r="P60" i="7"/>
  <c r="O60" i="7"/>
  <c r="N60" i="7"/>
  <c r="M60" i="7"/>
  <c r="L60" i="7"/>
  <c r="K60" i="7"/>
  <c r="K14" i="7" s="1"/>
  <c r="I60" i="7"/>
  <c r="H60" i="7"/>
  <c r="H14" i="7" s="1"/>
  <c r="G60" i="7"/>
  <c r="E60" i="7"/>
  <c r="P59" i="7"/>
  <c r="O59" i="7"/>
  <c r="N59" i="7"/>
  <c r="N13" i="7" s="1"/>
  <c r="M59" i="7"/>
  <c r="L59" i="7"/>
  <c r="K59" i="7"/>
  <c r="I59" i="7"/>
  <c r="H59" i="7"/>
  <c r="H13" i="7" s="1"/>
  <c r="G59" i="7"/>
  <c r="E59" i="7"/>
  <c r="P58" i="7"/>
  <c r="O58" i="7"/>
  <c r="O57" i="7" s="1"/>
  <c r="N58" i="7"/>
  <c r="M58" i="7"/>
  <c r="M12" i="7" s="1"/>
  <c r="L58" i="7"/>
  <c r="K58" i="7"/>
  <c r="I58" i="7"/>
  <c r="H58" i="7"/>
  <c r="G58" i="7"/>
  <c r="G12" i="7" s="1"/>
  <c r="E58" i="7"/>
  <c r="E57" i="7" s="1"/>
  <c r="D57" i="7"/>
  <c r="J55" i="7"/>
  <c r="F55" i="7"/>
  <c r="J54" i="7"/>
  <c r="F54" i="7"/>
  <c r="J53" i="7"/>
  <c r="F53" i="7"/>
  <c r="D53" i="7" s="1"/>
  <c r="P52" i="7"/>
  <c r="O52" i="7"/>
  <c r="N52" i="7"/>
  <c r="M52" i="7"/>
  <c r="L52" i="7"/>
  <c r="K52" i="7"/>
  <c r="I52" i="7"/>
  <c r="H52" i="7"/>
  <c r="G52" i="7"/>
  <c r="E52" i="7"/>
  <c r="J51" i="7"/>
  <c r="F51" i="7"/>
  <c r="J50" i="7"/>
  <c r="F50" i="7"/>
  <c r="P49" i="7"/>
  <c r="O49" i="7"/>
  <c r="N49" i="7"/>
  <c r="M49" i="7"/>
  <c r="L49" i="7"/>
  <c r="K49" i="7"/>
  <c r="I49" i="7"/>
  <c r="H49" i="7"/>
  <c r="G49" i="7"/>
  <c r="E49" i="7"/>
  <c r="J48" i="7"/>
  <c r="F48" i="7"/>
  <c r="J47" i="7"/>
  <c r="F47" i="7"/>
  <c r="P46" i="7"/>
  <c r="O46" i="7"/>
  <c r="N46" i="7"/>
  <c r="M46" i="7"/>
  <c r="L46" i="7"/>
  <c r="K46" i="7"/>
  <c r="I46" i="7"/>
  <c r="H46" i="7"/>
  <c r="G46" i="7"/>
  <c r="E46" i="7"/>
  <c r="J45" i="7"/>
  <c r="F45" i="7"/>
  <c r="J44" i="7"/>
  <c r="F44" i="7"/>
  <c r="P43" i="7"/>
  <c r="O43" i="7"/>
  <c r="N43" i="7"/>
  <c r="M43" i="7"/>
  <c r="L43" i="7"/>
  <c r="K43" i="7"/>
  <c r="I43" i="7"/>
  <c r="H43" i="7"/>
  <c r="G43" i="7"/>
  <c r="E43" i="7"/>
  <c r="J42" i="7"/>
  <c r="F42" i="7"/>
  <c r="J41" i="7"/>
  <c r="F41" i="7"/>
  <c r="J40" i="7"/>
  <c r="F40" i="7"/>
  <c r="J39" i="7"/>
  <c r="F39" i="7"/>
  <c r="D39" i="7" s="1"/>
  <c r="P38" i="7"/>
  <c r="O38" i="7"/>
  <c r="N38" i="7"/>
  <c r="M38" i="7"/>
  <c r="L38" i="7"/>
  <c r="K38" i="7"/>
  <c r="I38" i="7"/>
  <c r="H38" i="7"/>
  <c r="G38" i="7"/>
  <c r="E38" i="7"/>
  <c r="J37" i="7"/>
  <c r="F37" i="7"/>
  <c r="J36" i="7"/>
  <c r="F36" i="7"/>
  <c r="J35" i="7"/>
  <c r="F35" i="7"/>
  <c r="D35" i="7" s="1"/>
  <c r="P34" i="7"/>
  <c r="O34" i="7"/>
  <c r="N34" i="7"/>
  <c r="M34" i="7"/>
  <c r="L34" i="7"/>
  <c r="K34" i="7"/>
  <c r="I34" i="7"/>
  <c r="H34" i="7"/>
  <c r="G34" i="7"/>
  <c r="E34" i="7"/>
  <c r="O32" i="7"/>
  <c r="H32" i="7"/>
  <c r="N31" i="7"/>
  <c r="M31" i="7"/>
  <c r="L31" i="7"/>
  <c r="O30" i="7"/>
  <c r="M30" i="7"/>
  <c r="E30" i="7"/>
  <c r="O28" i="7"/>
  <c r="L28" i="7"/>
  <c r="K28" i="7"/>
  <c r="H27" i="7"/>
  <c r="E27" i="7"/>
  <c r="P25" i="7"/>
  <c r="O25" i="7"/>
  <c r="G25" i="7"/>
  <c r="E25" i="7"/>
  <c r="I24" i="7"/>
  <c r="O22" i="7"/>
  <c r="N22" i="7"/>
  <c r="L22" i="7"/>
  <c r="E22" i="7"/>
  <c r="I21" i="7"/>
  <c r="K19" i="7"/>
  <c r="M18" i="7"/>
  <c r="G18" i="7"/>
  <c r="I17" i="7"/>
  <c r="H16" i="7"/>
  <c r="G16" i="7"/>
  <c r="G14" i="7"/>
  <c r="E14" i="7"/>
  <c r="L13" i="7"/>
  <c r="D11" i="6"/>
  <c r="D230" i="5"/>
  <c r="D213" i="5"/>
  <c r="D210" i="5"/>
  <c r="D206" i="5"/>
  <c r="D201" i="5"/>
  <c r="D194" i="5"/>
  <c r="D192" i="5"/>
  <c r="D189" i="5"/>
  <c r="D187" i="5"/>
  <c r="J185" i="5"/>
  <c r="F185" i="5"/>
  <c r="J184" i="5"/>
  <c r="F184" i="5"/>
  <c r="J183" i="5"/>
  <c r="F183" i="5"/>
  <c r="J182" i="5"/>
  <c r="D182" i="5" s="1"/>
  <c r="F182" i="5"/>
  <c r="J181" i="5"/>
  <c r="F181" i="5"/>
  <c r="J180" i="5"/>
  <c r="D180" i="5" s="1"/>
  <c r="F180" i="5"/>
  <c r="J179" i="5"/>
  <c r="F179" i="5"/>
  <c r="J178" i="5"/>
  <c r="F178" i="5"/>
  <c r="J177" i="5"/>
  <c r="F177" i="5"/>
  <c r="J176" i="5"/>
  <c r="F176" i="5"/>
  <c r="J175" i="5"/>
  <c r="F175" i="5"/>
  <c r="J174" i="5"/>
  <c r="F174" i="5"/>
  <c r="J173" i="5"/>
  <c r="F173" i="5"/>
  <c r="J172" i="5"/>
  <c r="D172" i="5" s="1"/>
  <c r="F172" i="5"/>
  <c r="J171" i="5"/>
  <c r="F171" i="5"/>
  <c r="J170" i="5"/>
  <c r="F170" i="5"/>
  <c r="J168" i="5"/>
  <c r="F168" i="5"/>
  <c r="J167" i="5"/>
  <c r="F167" i="5"/>
  <c r="J165" i="5"/>
  <c r="F165" i="5"/>
  <c r="D165" i="5" s="1"/>
  <c r="J164" i="5"/>
  <c r="F164" i="5"/>
  <c r="J163" i="5"/>
  <c r="F163" i="5"/>
  <c r="J161" i="5"/>
  <c r="F161" i="5"/>
  <c r="D161" i="5" s="1"/>
  <c r="J160" i="5"/>
  <c r="F160" i="5"/>
  <c r="J159" i="5"/>
  <c r="F159" i="5"/>
  <c r="J158" i="5"/>
  <c r="F158" i="5"/>
  <c r="J156" i="5"/>
  <c r="F156" i="5"/>
  <c r="J155" i="5"/>
  <c r="F155" i="5"/>
  <c r="F104" i="5" s="1"/>
  <c r="J154" i="5"/>
  <c r="F154" i="5"/>
  <c r="J153" i="5"/>
  <c r="F153" i="5"/>
  <c r="J152" i="5"/>
  <c r="F152" i="5"/>
  <c r="J151" i="5"/>
  <c r="F151" i="5"/>
  <c r="F100" i="5" s="1"/>
  <c r="J149" i="5"/>
  <c r="F149" i="5"/>
  <c r="J147" i="5"/>
  <c r="F147" i="5"/>
  <c r="J146" i="5"/>
  <c r="F146" i="5"/>
  <c r="J144" i="5"/>
  <c r="F144" i="5"/>
  <c r="J143" i="5"/>
  <c r="F143" i="5"/>
  <c r="D143" i="5" s="1"/>
  <c r="P140" i="5"/>
  <c r="O140" i="5"/>
  <c r="N140" i="5"/>
  <c r="M140" i="5"/>
  <c r="L140" i="5"/>
  <c r="K140" i="5"/>
  <c r="I140" i="5"/>
  <c r="H140" i="5"/>
  <c r="G140" i="5"/>
  <c r="E140" i="5"/>
  <c r="P139" i="5"/>
  <c r="O139" i="5"/>
  <c r="N139" i="5"/>
  <c r="M139" i="5"/>
  <c r="L139" i="5"/>
  <c r="K139" i="5"/>
  <c r="I139" i="5"/>
  <c r="H139" i="5"/>
  <c r="G139" i="5"/>
  <c r="E139" i="5"/>
  <c r="P138" i="5"/>
  <c r="O138" i="5"/>
  <c r="N138" i="5"/>
  <c r="M138" i="5"/>
  <c r="L138" i="5"/>
  <c r="K138" i="5"/>
  <c r="I138" i="5"/>
  <c r="H138" i="5"/>
  <c r="G138" i="5"/>
  <c r="E138" i="5"/>
  <c r="P137" i="5"/>
  <c r="O137" i="5"/>
  <c r="N137" i="5"/>
  <c r="M137" i="5"/>
  <c r="L137" i="5"/>
  <c r="K137" i="5"/>
  <c r="I137" i="5"/>
  <c r="H137" i="5"/>
  <c r="G137" i="5"/>
  <c r="E137" i="5"/>
  <c r="P136" i="5"/>
  <c r="O136" i="5"/>
  <c r="N136" i="5"/>
  <c r="M136" i="5"/>
  <c r="L136" i="5"/>
  <c r="K136" i="5"/>
  <c r="I136" i="5"/>
  <c r="H136" i="5"/>
  <c r="G136" i="5"/>
  <c r="E136" i="5"/>
  <c r="P135" i="5"/>
  <c r="O135" i="5"/>
  <c r="N135" i="5"/>
  <c r="M135" i="5"/>
  <c r="L135" i="5"/>
  <c r="K135" i="5"/>
  <c r="I135" i="5"/>
  <c r="H135" i="5"/>
  <c r="G135" i="5"/>
  <c r="E135" i="5"/>
  <c r="D134" i="5"/>
  <c r="P133" i="5"/>
  <c r="O133" i="5"/>
  <c r="N133" i="5"/>
  <c r="M133" i="5"/>
  <c r="L133" i="5"/>
  <c r="K133" i="5"/>
  <c r="I133" i="5"/>
  <c r="H133" i="5"/>
  <c r="G133" i="5"/>
  <c r="E133" i="5"/>
  <c r="P132" i="5"/>
  <c r="O132" i="5"/>
  <c r="N132" i="5"/>
  <c r="M132" i="5"/>
  <c r="L132" i="5"/>
  <c r="K132" i="5"/>
  <c r="I132" i="5"/>
  <c r="H132" i="5"/>
  <c r="G132" i="5"/>
  <c r="E132" i="5"/>
  <c r="P131" i="5"/>
  <c r="O131" i="5"/>
  <c r="N131" i="5"/>
  <c r="M131" i="5"/>
  <c r="L131" i="5"/>
  <c r="K131" i="5"/>
  <c r="I131" i="5"/>
  <c r="H131" i="5"/>
  <c r="G131" i="5"/>
  <c r="E131" i="5"/>
  <c r="P130" i="5"/>
  <c r="O130" i="5"/>
  <c r="N130" i="5"/>
  <c r="M130" i="5"/>
  <c r="L130" i="5"/>
  <c r="K130" i="5"/>
  <c r="I130" i="5"/>
  <c r="H130" i="5"/>
  <c r="G130" i="5"/>
  <c r="E130" i="5"/>
  <c r="P129" i="5"/>
  <c r="O129" i="5"/>
  <c r="N129" i="5"/>
  <c r="M129" i="5"/>
  <c r="L129" i="5"/>
  <c r="K129" i="5"/>
  <c r="I129" i="5"/>
  <c r="H129" i="5"/>
  <c r="G129" i="5"/>
  <c r="E129" i="5"/>
  <c r="P128" i="5"/>
  <c r="O128" i="5"/>
  <c r="N128" i="5"/>
  <c r="M128" i="5"/>
  <c r="L128" i="5"/>
  <c r="K128" i="5"/>
  <c r="I128" i="5"/>
  <c r="H128" i="5"/>
  <c r="G128" i="5"/>
  <c r="E128" i="5"/>
  <c r="P127" i="5"/>
  <c r="O127" i="5"/>
  <c r="N127" i="5"/>
  <c r="M127" i="5"/>
  <c r="L127" i="5"/>
  <c r="K127" i="5"/>
  <c r="I127" i="5"/>
  <c r="H127" i="5"/>
  <c r="G127" i="5"/>
  <c r="E127" i="5"/>
  <c r="P126" i="5"/>
  <c r="O126" i="5"/>
  <c r="N126" i="5"/>
  <c r="M126" i="5"/>
  <c r="L126" i="5"/>
  <c r="K126" i="5"/>
  <c r="I126" i="5"/>
  <c r="H126" i="5"/>
  <c r="G126" i="5"/>
  <c r="E126" i="5"/>
  <c r="P125" i="5"/>
  <c r="O125" i="5"/>
  <c r="N125" i="5"/>
  <c r="M125" i="5"/>
  <c r="L125" i="5"/>
  <c r="K125" i="5"/>
  <c r="I125" i="5"/>
  <c r="H125" i="5"/>
  <c r="G125" i="5"/>
  <c r="E125" i="5"/>
  <c r="P124" i="5"/>
  <c r="O124" i="5"/>
  <c r="N124" i="5"/>
  <c r="M124" i="5"/>
  <c r="L124" i="5"/>
  <c r="K124" i="5"/>
  <c r="I124" i="5"/>
  <c r="H124" i="5"/>
  <c r="G124" i="5"/>
  <c r="E124" i="5"/>
  <c r="P123" i="5"/>
  <c r="O123" i="5"/>
  <c r="N123" i="5"/>
  <c r="M123" i="5"/>
  <c r="L123" i="5"/>
  <c r="K123" i="5"/>
  <c r="I123" i="5"/>
  <c r="H123" i="5"/>
  <c r="G123" i="5"/>
  <c r="E123" i="5"/>
  <c r="P122" i="5"/>
  <c r="O122" i="5"/>
  <c r="N122" i="5"/>
  <c r="M122" i="5"/>
  <c r="L122" i="5"/>
  <c r="K122" i="5"/>
  <c r="I122" i="5"/>
  <c r="H122" i="5"/>
  <c r="G122" i="5"/>
  <c r="E122" i="5"/>
  <c r="P121" i="5"/>
  <c r="O121" i="5"/>
  <c r="N121" i="5"/>
  <c r="M121" i="5"/>
  <c r="L121" i="5"/>
  <c r="K121" i="5"/>
  <c r="I121" i="5"/>
  <c r="H121" i="5"/>
  <c r="G121" i="5"/>
  <c r="E121" i="5"/>
  <c r="P120" i="5"/>
  <c r="O120" i="5"/>
  <c r="N120" i="5"/>
  <c r="M120" i="5"/>
  <c r="L120" i="5"/>
  <c r="K120" i="5"/>
  <c r="I120" i="5"/>
  <c r="H120" i="5"/>
  <c r="G120" i="5"/>
  <c r="E120" i="5"/>
  <c r="P119" i="5"/>
  <c r="O119" i="5"/>
  <c r="N119" i="5"/>
  <c r="M119" i="5"/>
  <c r="L119" i="5"/>
  <c r="K119" i="5"/>
  <c r="I119" i="5"/>
  <c r="F119" i="5" s="1"/>
  <c r="H119" i="5"/>
  <c r="G119" i="5"/>
  <c r="E119" i="5"/>
  <c r="D118" i="5"/>
  <c r="P117" i="5"/>
  <c r="O117" i="5"/>
  <c r="N117" i="5"/>
  <c r="M117" i="5"/>
  <c r="L117" i="5"/>
  <c r="K117" i="5"/>
  <c r="I117" i="5"/>
  <c r="H117" i="5"/>
  <c r="G117" i="5"/>
  <c r="G115" i="5" s="1"/>
  <c r="E117" i="5"/>
  <c r="P116" i="5"/>
  <c r="O116" i="5"/>
  <c r="N116" i="5"/>
  <c r="M116" i="5"/>
  <c r="L116" i="5"/>
  <c r="K116" i="5"/>
  <c r="J116" i="5" s="1"/>
  <c r="I116" i="5"/>
  <c r="H116" i="5"/>
  <c r="G116" i="5"/>
  <c r="E116" i="5"/>
  <c r="D115" i="5"/>
  <c r="P114" i="5"/>
  <c r="O114" i="5"/>
  <c r="N114" i="5"/>
  <c r="M114" i="5"/>
  <c r="L114" i="5"/>
  <c r="L111" i="5" s="1"/>
  <c r="K114" i="5"/>
  <c r="I114" i="5"/>
  <c r="H114" i="5"/>
  <c r="G114" i="5"/>
  <c r="E114" i="5"/>
  <c r="P113" i="5"/>
  <c r="O113" i="5"/>
  <c r="N113" i="5"/>
  <c r="M113" i="5"/>
  <c r="L113" i="5"/>
  <c r="K113" i="5"/>
  <c r="I113" i="5"/>
  <c r="H113" i="5"/>
  <c r="G113" i="5"/>
  <c r="E113" i="5"/>
  <c r="P112" i="5"/>
  <c r="O112" i="5"/>
  <c r="N112" i="5"/>
  <c r="M112" i="5"/>
  <c r="L112" i="5"/>
  <c r="K112" i="5"/>
  <c r="I112" i="5"/>
  <c r="I111" i="5" s="1"/>
  <c r="H112" i="5"/>
  <c r="G112" i="5"/>
  <c r="E112" i="5"/>
  <c r="D111" i="5"/>
  <c r="P110" i="5"/>
  <c r="O110" i="5"/>
  <c r="N110" i="5"/>
  <c r="M110" i="5"/>
  <c r="L110" i="5"/>
  <c r="K110" i="5"/>
  <c r="I110" i="5"/>
  <c r="H110" i="5"/>
  <c r="G110" i="5"/>
  <c r="E110" i="5"/>
  <c r="P109" i="5"/>
  <c r="O109" i="5"/>
  <c r="N109" i="5"/>
  <c r="M109" i="5"/>
  <c r="L109" i="5"/>
  <c r="K109" i="5"/>
  <c r="I109" i="5"/>
  <c r="H109" i="5"/>
  <c r="G109" i="5"/>
  <c r="E109" i="5"/>
  <c r="P108" i="5"/>
  <c r="O108" i="5"/>
  <c r="N108" i="5"/>
  <c r="M108" i="5"/>
  <c r="L108" i="5"/>
  <c r="K108" i="5"/>
  <c r="I108" i="5"/>
  <c r="H108" i="5"/>
  <c r="G108" i="5"/>
  <c r="E108" i="5"/>
  <c r="P107" i="5"/>
  <c r="O107" i="5"/>
  <c r="N107" i="5"/>
  <c r="M107" i="5"/>
  <c r="L107" i="5"/>
  <c r="K107" i="5"/>
  <c r="I107" i="5"/>
  <c r="H107" i="5"/>
  <c r="G107" i="5"/>
  <c r="E107" i="5"/>
  <c r="D106" i="5"/>
  <c r="P105" i="5"/>
  <c r="O105" i="5"/>
  <c r="N105" i="5"/>
  <c r="M105" i="5"/>
  <c r="L105" i="5"/>
  <c r="K105" i="5"/>
  <c r="I105" i="5"/>
  <c r="H105" i="5"/>
  <c r="G105" i="5"/>
  <c r="F105" i="5"/>
  <c r="E105" i="5"/>
  <c r="P104" i="5"/>
  <c r="O104" i="5"/>
  <c r="N104" i="5"/>
  <c r="M104" i="5"/>
  <c r="L104" i="5"/>
  <c r="K104" i="5"/>
  <c r="I104" i="5"/>
  <c r="H104" i="5"/>
  <c r="G104" i="5"/>
  <c r="E104" i="5"/>
  <c r="P103" i="5"/>
  <c r="O103" i="5"/>
  <c r="N103" i="5"/>
  <c r="M103" i="5"/>
  <c r="L103" i="5"/>
  <c r="K103" i="5"/>
  <c r="I103" i="5"/>
  <c r="H103" i="5"/>
  <c r="G103" i="5"/>
  <c r="F103" i="5"/>
  <c r="E103" i="5"/>
  <c r="P102" i="5"/>
  <c r="O102" i="5"/>
  <c r="N102" i="5"/>
  <c r="M102" i="5"/>
  <c r="L102" i="5"/>
  <c r="K102" i="5"/>
  <c r="I102" i="5"/>
  <c r="H102" i="5"/>
  <c r="G102" i="5"/>
  <c r="F102" i="5"/>
  <c r="E102" i="5"/>
  <c r="P101" i="5"/>
  <c r="O101" i="5"/>
  <c r="N101" i="5"/>
  <c r="M101" i="5"/>
  <c r="L101" i="5"/>
  <c r="K101" i="5"/>
  <c r="J101" i="5" s="1"/>
  <c r="I101" i="5"/>
  <c r="H101" i="5"/>
  <c r="G101" i="5"/>
  <c r="F101" i="5"/>
  <c r="E101" i="5"/>
  <c r="P100" i="5"/>
  <c r="O100" i="5"/>
  <c r="N100" i="5"/>
  <c r="M100" i="5"/>
  <c r="L100" i="5"/>
  <c r="K100" i="5"/>
  <c r="I100" i="5"/>
  <c r="H100" i="5"/>
  <c r="G100" i="5"/>
  <c r="E100" i="5"/>
  <c r="E99" i="5" s="1"/>
  <c r="D99" i="5"/>
  <c r="P98" i="5"/>
  <c r="P97" i="5" s="1"/>
  <c r="O98" i="5"/>
  <c r="O97" i="5" s="1"/>
  <c r="N98" i="5"/>
  <c r="N97" i="5" s="1"/>
  <c r="M98" i="5"/>
  <c r="L98" i="5"/>
  <c r="L97" i="5" s="1"/>
  <c r="K98" i="5"/>
  <c r="I98" i="5"/>
  <c r="I97" i="5" s="1"/>
  <c r="H98" i="5"/>
  <c r="H97" i="5" s="1"/>
  <c r="G98" i="5"/>
  <c r="G97" i="5" s="1"/>
  <c r="F98" i="5"/>
  <c r="E98" i="5"/>
  <c r="E97" i="5" s="1"/>
  <c r="M97" i="5"/>
  <c r="K97" i="5"/>
  <c r="D97" i="5"/>
  <c r="P96" i="5"/>
  <c r="P94" i="5" s="1"/>
  <c r="O96" i="5"/>
  <c r="O94" i="5" s="1"/>
  <c r="N96" i="5"/>
  <c r="M96" i="5"/>
  <c r="L96" i="5"/>
  <c r="L94" i="5" s="1"/>
  <c r="K96" i="5"/>
  <c r="I96" i="5"/>
  <c r="H96" i="5"/>
  <c r="G96" i="5"/>
  <c r="E96" i="5"/>
  <c r="P95" i="5"/>
  <c r="O95" i="5"/>
  <c r="N95" i="5"/>
  <c r="M95" i="5"/>
  <c r="L95" i="5"/>
  <c r="K95" i="5"/>
  <c r="K94" i="5" s="1"/>
  <c r="J95" i="5"/>
  <c r="I95" i="5"/>
  <c r="H95" i="5"/>
  <c r="G95" i="5"/>
  <c r="E95" i="5"/>
  <c r="M94" i="5"/>
  <c r="H94" i="5"/>
  <c r="D94" i="5"/>
  <c r="P93" i="5"/>
  <c r="O93" i="5"/>
  <c r="N93" i="5"/>
  <c r="M93" i="5"/>
  <c r="L93" i="5"/>
  <c r="K93" i="5"/>
  <c r="I93" i="5"/>
  <c r="H93" i="5"/>
  <c r="G93" i="5"/>
  <c r="E93" i="5"/>
  <c r="P92" i="5"/>
  <c r="O92" i="5"/>
  <c r="N92" i="5"/>
  <c r="M92" i="5"/>
  <c r="L92" i="5"/>
  <c r="L91" i="5" s="1"/>
  <c r="K92" i="5"/>
  <c r="K28" i="5" s="1"/>
  <c r="I92" i="5"/>
  <c r="H92" i="5"/>
  <c r="G92" i="5"/>
  <c r="G14" i="5" s="1"/>
  <c r="E92" i="5"/>
  <c r="E91" i="5" s="1"/>
  <c r="O91" i="5"/>
  <c r="D91" i="5"/>
  <c r="J89" i="5"/>
  <c r="F89" i="5"/>
  <c r="J88" i="5"/>
  <c r="F88" i="5"/>
  <c r="J87" i="5"/>
  <c r="F87" i="5"/>
  <c r="J86" i="5"/>
  <c r="F86" i="5"/>
  <c r="J85" i="5"/>
  <c r="F85" i="5"/>
  <c r="J84" i="5"/>
  <c r="F84" i="5"/>
  <c r="J83" i="5"/>
  <c r="F83" i="5"/>
  <c r="P82" i="5"/>
  <c r="O82" i="5"/>
  <c r="N82" i="5"/>
  <c r="M82" i="5"/>
  <c r="L82" i="5"/>
  <c r="K82" i="5"/>
  <c r="I82" i="5"/>
  <c r="H82" i="5"/>
  <c r="G82" i="5"/>
  <c r="E82" i="5"/>
  <c r="J81" i="5"/>
  <c r="F81" i="5"/>
  <c r="J80" i="5"/>
  <c r="F80" i="5"/>
  <c r="J79" i="5"/>
  <c r="F79" i="5"/>
  <c r="J78" i="5"/>
  <c r="F78" i="5"/>
  <c r="J77" i="5"/>
  <c r="F77" i="5"/>
  <c r="J76" i="5"/>
  <c r="F76" i="5"/>
  <c r="J75" i="5"/>
  <c r="F75" i="5"/>
  <c r="J74" i="5"/>
  <c r="F74" i="5"/>
  <c r="J73" i="5"/>
  <c r="F73" i="5"/>
  <c r="J72" i="5"/>
  <c r="F72" i="5"/>
  <c r="J71" i="5"/>
  <c r="F71" i="5"/>
  <c r="J70" i="5"/>
  <c r="F70" i="5"/>
  <c r="J69" i="5"/>
  <c r="F69" i="5"/>
  <c r="J68" i="5"/>
  <c r="F68" i="5"/>
  <c r="J67" i="5"/>
  <c r="F67" i="5"/>
  <c r="P66" i="5"/>
  <c r="O66" i="5"/>
  <c r="N66" i="5"/>
  <c r="M66" i="5"/>
  <c r="L66" i="5"/>
  <c r="K66" i="5"/>
  <c r="J66" i="5" s="1"/>
  <c r="I66" i="5"/>
  <c r="H66" i="5"/>
  <c r="G66" i="5"/>
  <c r="E66" i="5"/>
  <c r="J65" i="5"/>
  <c r="F65" i="5"/>
  <c r="J64" i="5"/>
  <c r="F64" i="5"/>
  <c r="P63" i="5"/>
  <c r="O63" i="5"/>
  <c r="N63" i="5"/>
  <c r="M63" i="5"/>
  <c r="L63" i="5"/>
  <c r="K63" i="5"/>
  <c r="I63" i="5"/>
  <c r="H63" i="5"/>
  <c r="G63" i="5"/>
  <c r="E63" i="5"/>
  <c r="J62" i="5"/>
  <c r="F62" i="5"/>
  <c r="J61" i="5"/>
  <c r="F61" i="5"/>
  <c r="J60" i="5"/>
  <c r="F60" i="5"/>
  <c r="J59" i="5"/>
  <c r="F59" i="5"/>
  <c r="J58" i="5"/>
  <c r="F58" i="5"/>
  <c r="P57" i="5"/>
  <c r="O57" i="5"/>
  <c r="N57" i="5"/>
  <c r="M57" i="5"/>
  <c r="L57" i="5"/>
  <c r="K57" i="5"/>
  <c r="J57" i="5" s="1"/>
  <c r="I57" i="5"/>
  <c r="H57" i="5"/>
  <c r="G57" i="5"/>
  <c r="E57" i="5"/>
  <c r="J56" i="5"/>
  <c r="F56" i="5"/>
  <c r="D56" i="5" s="1"/>
  <c r="J55" i="5"/>
  <c r="F55" i="5"/>
  <c r="J54" i="5"/>
  <c r="F54" i="5"/>
  <c r="J53" i="5"/>
  <c r="E30" i="9" s="1"/>
  <c r="F53" i="5"/>
  <c r="E28" i="9" s="1"/>
  <c r="P52" i="5"/>
  <c r="O52" i="5"/>
  <c r="N52" i="5"/>
  <c r="M52" i="5"/>
  <c r="L52" i="5"/>
  <c r="K52" i="5"/>
  <c r="I52" i="5"/>
  <c r="H52" i="5"/>
  <c r="G52" i="5"/>
  <c r="E52" i="5"/>
  <c r="J51" i="5"/>
  <c r="F51" i="5"/>
  <c r="J50" i="5"/>
  <c r="F50" i="5"/>
  <c r="J49" i="5"/>
  <c r="F49" i="5"/>
  <c r="J48" i="5"/>
  <c r="F48" i="5"/>
  <c r="D48" i="5" s="1"/>
  <c r="J47" i="5"/>
  <c r="F47" i="5"/>
  <c r="J46" i="5"/>
  <c r="F46" i="5"/>
  <c r="P45" i="5"/>
  <c r="O45" i="5"/>
  <c r="N45" i="5"/>
  <c r="M45" i="5"/>
  <c r="L45" i="5"/>
  <c r="K45" i="5"/>
  <c r="J45" i="5" s="1"/>
  <c r="I45" i="5"/>
  <c r="H45" i="5"/>
  <c r="G45" i="5"/>
  <c r="E45" i="5"/>
  <c r="J44" i="5"/>
  <c r="F44" i="5"/>
  <c r="D44" i="5" s="1"/>
  <c r="P43" i="5"/>
  <c r="O43" i="5"/>
  <c r="N43" i="5"/>
  <c r="M43" i="5"/>
  <c r="L43" i="5"/>
  <c r="K43" i="5"/>
  <c r="I43" i="5"/>
  <c r="H43" i="5"/>
  <c r="G43" i="5"/>
  <c r="E43" i="5"/>
  <c r="J42" i="5"/>
  <c r="F42" i="5"/>
  <c r="J41" i="5"/>
  <c r="F41" i="5"/>
  <c r="P40" i="5"/>
  <c r="O40" i="5"/>
  <c r="N40" i="5"/>
  <c r="M40" i="5"/>
  <c r="L40" i="5"/>
  <c r="J40" i="5" s="1"/>
  <c r="K40" i="5"/>
  <c r="I40" i="5"/>
  <c r="H40" i="5"/>
  <c r="G40" i="5"/>
  <c r="E40" i="5"/>
  <c r="J39" i="5"/>
  <c r="F39" i="5"/>
  <c r="J38" i="5"/>
  <c r="D38" i="5" s="1"/>
  <c r="F38" i="5"/>
  <c r="P37" i="5"/>
  <c r="P15" i="5" s="1"/>
  <c r="O37" i="5"/>
  <c r="N37" i="5"/>
  <c r="M37" i="5"/>
  <c r="M15" i="5" s="1"/>
  <c r="L37" i="5"/>
  <c r="L15" i="5" s="1"/>
  <c r="K37" i="5"/>
  <c r="I37" i="5"/>
  <c r="I15" i="5" s="1"/>
  <c r="H37" i="5"/>
  <c r="H15" i="5" s="1"/>
  <c r="G37" i="5"/>
  <c r="E37" i="5"/>
  <c r="J36" i="5"/>
  <c r="F36" i="5"/>
  <c r="J35" i="5"/>
  <c r="F35" i="5"/>
  <c r="F34" i="5" s="1"/>
  <c r="P34" i="5"/>
  <c r="O34" i="5"/>
  <c r="N34" i="5"/>
  <c r="M34" i="5"/>
  <c r="L34" i="5"/>
  <c r="K34" i="5"/>
  <c r="J34" i="5" s="1"/>
  <c r="I34" i="5"/>
  <c r="H34" i="5"/>
  <c r="G34" i="5"/>
  <c r="E34" i="5"/>
  <c r="J33" i="5"/>
  <c r="D33" i="5" s="1"/>
  <c r="J32" i="5"/>
  <c r="D32" i="5" s="1"/>
  <c r="N31" i="5"/>
  <c r="M31" i="5"/>
  <c r="M28" i="5" s="1"/>
  <c r="L31" i="5"/>
  <c r="L12" i="5" s="1"/>
  <c r="K31" i="5"/>
  <c r="I31" i="5"/>
  <c r="H31" i="5"/>
  <c r="H12" i="5" s="1"/>
  <c r="G31" i="5"/>
  <c r="E31" i="5"/>
  <c r="J30" i="5"/>
  <c r="J11" i="5" s="1"/>
  <c r="F30" i="5"/>
  <c r="N28" i="5"/>
  <c r="N15" i="5"/>
  <c r="P14" i="5"/>
  <c r="O14" i="5"/>
  <c r="N14" i="5"/>
  <c r="K14" i="5"/>
  <c r="I14" i="5"/>
  <c r="O13" i="5"/>
  <c r="P12" i="5"/>
  <c r="O12" i="5"/>
  <c r="N12" i="5"/>
  <c r="K12" i="5"/>
  <c r="I12" i="5"/>
  <c r="G12" i="5"/>
  <c r="F12" i="5"/>
  <c r="E12" i="5"/>
  <c r="P11" i="5"/>
  <c r="O11" i="5"/>
  <c r="N11" i="5"/>
  <c r="M11" i="5"/>
  <c r="L11" i="5"/>
  <c r="K11" i="5"/>
  <c r="I11" i="5"/>
  <c r="H11" i="5"/>
  <c r="G11" i="5"/>
  <c r="E11" i="5"/>
  <c r="D88" i="4"/>
  <c r="D53" i="4"/>
  <c r="D38" i="4"/>
  <c r="D35" i="4"/>
  <c r="D31" i="4"/>
  <c r="D27" i="4"/>
  <c r="D12" i="4"/>
  <c r="D32" i="3"/>
  <c r="D17" i="3"/>
  <c r="M99" i="5" l="1"/>
  <c r="N29" i="5"/>
  <c r="N25" i="5" s="1"/>
  <c r="D51" i="5"/>
  <c r="D62" i="5"/>
  <c r="M91" i="5"/>
  <c r="J93" i="5"/>
  <c r="F96" i="5"/>
  <c r="L115" i="5"/>
  <c r="D152" i="5"/>
  <c r="O12" i="7"/>
  <c r="I27" i="7"/>
  <c r="D42" i="7"/>
  <c r="D50" i="7"/>
  <c r="J52" i="7"/>
  <c r="H57" i="7"/>
  <c r="M14" i="7"/>
  <c r="J14" i="7" s="1"/>
  <c r="E17" i="7"/>
  <c r="O17" i="7"/>
  <c r="E66" i="7"/>
  <c r="N66" i="7"/>
  <c r="P69" i="7"/>
  <c r="N25" i="7"/>
  <c r="K30" i="7"/>
  <c r="K97" i="7"/>
  <c r="E97" i="7"/>
  <c r="O14" i="7"/>
  <c r="E28" i="7"/>
  <c r="L30" i="7"/>
  <c r="F117" i="7"/>
  <c r="O21" i="11"/>
  <c r="O20" i="11" s="1"/>
  <c r="H61" i="11"/>
  <c r="F67" i="11"/>
  <c r="D89" i="11"/>
  <c r="L13" i="11"/>
  <c r="F112" i="11"/>
  <c r="F113" i="11"/>
  <c r="J120" i="5"/>
  <c r="D59" i="5"/>
  <c r="O99" i="5"/>
  <c r="L99" i="5"/>
  <c r="F110" i="5"/>
  <c r="F123" i="5"/>
  <c r="O28" i="5"/>
  <c r="D167" i="5"/>
  <c r="D184" i="5"/>
  <c r="O16" i="7"/>
  <c r="P13" i="7"/>
  <c r="N18" i="7"/>
  <c r="L97" i="7"/>
  <c r="F100" i="7"/>
  <c r="M101" i="7"/>
  <c r="E108" i="7"/>
  <c r="O108" i="7"/>
  <c r="D50" i="11"/>
  <c r="J52" i="11"/>
  <c r="F63" i="11"/>
  <c r="H75" i="11"/>
  <c r="G16" i="11"/>
  <c r="J43" i="7"/>
  <c r="K66" i="7"/>
  <c r="F63" i="5"/>
  <c r="D83" i="5"/>
  <c r="J102" i="5"/>
  <c r="J113" i="5"/>
  <c r="K13" i="7"/>
  <c r="N30" i="7"/>
  <c r="N32" i="11"/>
  <c r="L14" i="11"/>
  <c r="K24" i="11"/>
  <c r="N114" i="11"/>
  <c r="L31" i="11"/>
  <c r="D50" i="5"/>
  <c r="D82" i="7"/>
  <c r="J43" i="5"/>
  <c r="F52" i="5"/>
  <c r="D64" i="5"/>
  <c r="N91" i="5"/>
  <c r="J122" i="5"/>
  <c r="J135" i="5"/>
  <c r="J139" i="5"/>
  <c r="H28" i="5"/>
  <c r="D185" i="5"/>
  <c r="D47" i="7"/>
  <c r="D51" i="7"/>
  <c r="D55" i="7"/>
  <c r="N75" i="7"/>
  <c r="G14" i="11"/>
  <c r="K30" i="11"/>
  <c r="E32" i="11"/>
  <c r="D83" i="11"/>
  <c r="D87" i="11"/>
  <c r="D91" i="11"/>
  <c r="F98" i="11"/>
  <c r="D90" i="7"/>
  <c r="F37" i="5"/>
  <c r="F15" i="5" s="1"/>
  <c r="D84" i="5"/>
  <c r="H91" i="5"/>
  <c r="H13" i="5" s="1"/>
  <c r="J119" i="5"/>
  <c r="J123" i="5"/>
  <c r="J127" i="5"/>
  <c r="D149" i="5"/>
  <c r="D36" i="7"/>
  <c r="F43" i="7"/>
  <c r="D44" i="7"/>
  <c r="M61" i="7"/>
  <c r="I66" i="7"/>
  <c r="F68" i="7"/>
  <c r="P66" i="7"/>
  <c r="M72" i="7"/>
  <c r="P101" i="7"/>
  <c r="L18" i="7"/>
  <c r="I19" i="7"/>
  <c r="G30" i="7"/>
  <c r="N114" i="7"/>
  <c r="L32" i="7"/>
  <c r="L33" i="11"/>
  <c r="M12" i="11"/>
  <c r="O28" i="11"/>
  <c r="M19" i="11"/>
  <c r="N27" i="11"/>
  <c r="P114" i="11"/>
  <c r="D54" i="5"/>
  <c r="J103" i="5"/>
  <c r="D174" i="5"/>
  <c r="D178" i="5"/>
  <c r="N57" i="7"/>
  <c r="N72" i="7"/>
  <c r="D93" i="7"/>
  <c r="P12" i="7"/>
  <c r="L14" i="7"/>
  <c r="O31" i="7"/>
  <c r="E47" i="8"/>
  <c r="D48" i="11"/>
  <c r="L17" i="11"/>
  <c r="I72" i="11"/>
  <c r="D80" i="11"/>
  <c r="D88" i="11"/>
  <c r="D92" i="11"/>
  <c r="E14" i="11"/>
  <c r="L16" i="11"/>
  <c r="P18" i="11"/>
  <c r="O111" i="11"/>
  <c r="H114" i="11"/>
  <c r="E29" i="9"/>
  <c r="E12" i="9"/>
  <c r="E40" i="9" s="1"/>
  <c r="E11" i="9"/>
  <c r="E10" i="9" s="1"/>
  <c r="E59" i="10"/>
  <c r="E64" i="10" s="1"/>
  <c r="P97" i="11"/>
  <c r="P14" i="11"/>
  <c r="D122" i="11"/>
  <c r="D130" i="11"/>
  <c r="J112" i="11"/>
  <c r="D119" i="11"/>
  <c r="D123" i="11"/>
  <c r="D127" i="11"/>
  <c r="K97" i="11"/>
  <c r="J113" i="11"/>
  <c r="O114" i="11"/>
  <c r="H97" i="11"/>
  <c r="F99" i="11"/>
  <c r="F100" i="11"/>
  <c r="H13" i="11"/>
  <c r="G114" i="11"/>
  <c r="D131" i="11"/>
  <c r="I101" i="11"/>
  <c r="F103" i="11"/>
  <c r="I114" i="11"/>
  <c r="F114" i="11" s="1"/>
  <c r="G24" i="11"/>
  <c r="G23" i="11" s="1"/>
  <c r="E13" i="11"/>
  <c r="E108" i="11"/>
  <c r="E12" i="11"/>
  <c r="P30" i="11"/>
  <c r="L32" i="11"/>
  <c r="L114" i="11"/>
  <c r="J116" i="11"/>
  <c r="N30" i="11"/>
  <c r="N29" i="11" s="1"/>
  <c r="O30" i="11"/>
  <c r="H28" i="11"/>
  <c r="F28" i="11" s="1"/>
  <c r="L27" i="11"/>
  <c r="H111" i="11"/>
  <c r="N111" i="11"/>
  <c r="K111" i="11"/>
  <c r="J111" i="11" s="1"/>
  <c r="E28" i="11"/>
  <c r="I108" i="11"/>
  <c r="N108" i="11"/>
  <c r="E24" i="11"/>
  <c r="E23" i="11" s="1"/>
  <c r="H108" i="11"/>
  <c r="G108" i="11"/>
  <c r="L108" i="11"/>
  <c r="N25" i="11"/>
  <c r="N23" i="11" s="1"/>
  <c r="P108" i="11"/>
  <c r="M21" i="11"/>
  <c r="M20" i="11" s="1"/>
  <c r="K106" i="11"/>
  <c r="J106" i="11" s="1"/>
  <c r="F107" i="11"/>
  <c r="P21" i="11"/>
  <c r="M18" i="11"/>
  <c r="J18" i="11" s="1"/>
  <c r="I16" i="11"/>
  <c r="P17" i="11"/>
  <c r="P15" i="11" s="1"/>
  <c r="N18" i="11"/>
  <c r="L19" i="11"/>
  <c r="L15" i="11" s="1"/>
  <c r="I17" i="11"/>
  <c r="N19" i="11"/>
  <c r="K101" i="11"/>
  <c r="K17" i="11"/>
  <c r="J17" i="11" s="1"/>
  <c r="H18" i="11"/>
  <c r="F18" i="11" s="1"/>
  <c r="E19" i="11"/>
  <c r="O19" i="11"/>
  <c r="G101" i="11"/>
  <c r="P101" i="11"/>
  <c r="N101" i="11"/>
  <c r="L101" i="11"/>
  <c r="K13" i="11"/>
  <c r="J13" i="11" s="1"/>
  <c r="J98" i="11"/>
  <c r="J99" i="11"/>
  <c r="E97" i="11"/>
  <c r="I13" i="11"/>
  <c r="N14" i="11"/>
  <c r="I97" i="11"/>
  <c r="J100" i="11"/>
  <c r="P24" i="11"/>
  <c r="P23" i="11" s="1"/>
  <c r="O57" i="11"/>
  <c r="M57" i="11"/>
  <c r="P61" i="11"/>
  <c r="M66" i="11"/>
  <c r="O69" i="11"/>
  <c r="L75" i="11"/>
  <c r="O75" i="11"/>
  <c r="L57" i="11"/>
  <c r="K72" i="11"/>
  <c r="K12" i="11"/>
  <c r="L25" i="11"/>
  <c r="P29" i="11"/>
  <c r="N75" i="11"/>
  <c r="K66" i="11"/>
  <c r="O72" i="11"/>
  <c r="D82" i="11"/>
  <c r="O16" i="11"/>
  <c r="J70" i="11"/>
  <c r="K69" i="11"/>
  <c r="F62" i="11"/>
  <c r="G17" i="11"/>
  <c r="F17" i="11" s="1"/>
  <c r="H23" i="11"/>
  <c r="H30" i="11"/>
  <c r="H29" i="11" s="1"/>
  <c r="G75" i="11"/>
  <c r="H72" i="11"/>
  <c r="F25" i="11"/>
  <c r="H57" i="11"/>
  <c r="E72" i="11"/>
  <c r="E21" i="11"/>
  <c r="E20" i="11" s="1"/>
  <c r="G30" i="11"/>
  <c r="F30" i="11" s="1"/>
  <c r="P75" i="11"/>
  <c r="F78" i="11"/>
  <c r="J77" i="11"/>
  <c r="F76" i="11"/>
  <c r="J76" i="11"/>
  <c r="I27" i="11"/>
  <c r="I26" i="11" s="1"/>
  <c r="K28" i="11"/>
  <c r="K26" i="11" s="1"/>
  <c r="M26" i="11"/>
  <c r="O27" i="11"/>
  <c r="M72" i="11"/>
  <c r="E27" i="11"/>
  <c r="E26" i="11" s="1"/>
  <c r="H69" i="11"/>
  <c r="O24" i="11"/>
  <c r="O23" i="11" s="1"/>
  <c r="E69" i="11"/>
  <c r="P66" i="11"/>
  <c r="H66" i="11"/>
  <c r="P20" i="11"/>
  <c r="J68" i="11"/>
  <c r="N66" i="11"/>
  <c r="G21" i="11"/>
  <c r="G20" i="11" s="1"/>
  <c r="H21" i="11"/>
  <c r="H20" i="11" s="1"/>
  <c r="N61" i="11"/>
  <c r="F64" i="11"/>
  <c r="F65" i="11"/>
  <c r="J63" i="11"/>
  <c r="J62" i="11"/>
  <c r="J65" i="11"/>
  <c r="I61" i="11"/>
  <c r="F61" i="11" s="1"/>
  <c r="L61" i="11"/>
  <c r="P57" i="11"/>
  <c r="D56" i="11"/>
  <c r="H12" i="11"/>
  <c r="H11" i="11" s="1"/>
  <c r="K57" i="11"/>
  <c r="L12" i="11"/>
  <c r="M14" i="11"/>
  <c r="M11" i="11" s="1"/>
  <c r="O13" i="11"/>
  <c r="O11" i="11" s="1"/>
  <c r="M33" i="11"/>
  <c r="F52" i="11"/>
  <c r="D51" i="11"/>
  <c r="F49" i="11"/>
  <c r="L23" i="11"/>
  <c r="D47" i="11"/>
  <c r="F46" i="11"/>
  <c r="J22" i="11"/>
  <c r="P33" i="11"/>
  <c r="H33" i="11"/>
  <c r="F43" i="11"/>
  <c r="J38" i="11"/>
  <c r="D41" i="11"/>
  <c r="F19" i="11"/>
  <c r="D37" i="11"/>
  <c r="N33" i="11"/>
  <c r="D35" i="11"/>
  <c r="D36" i="11"/>
  <c r="F34" i="11"/>
  <c r="P24" i="7"/>
  <c r="P23" i="7" s="1"/>
  <c r="L17" i="7"/>
  <c r="P19" i="7"/>
  <c r="K25" i="7"/>
  <c r="J25" i="7" s="1"/>
  <c r="N97" i="7"/>
  <c r="L111" i="7"/>
  <c r="J116" i="7"/>
  <c r="D119" i="7"/>
  <c r="D123" i="7"/>
  <c r="D130" i="7"/>
  <c r="M97" i="7"/>
  <c r="M111" i="7"/>
  <c r="L114" i="7"/>
  <c r="D127" i="7"/>
  <c r="L101" i="7"/>
  <c r="J103" i="7"/>
  <c r="D128" i="7"/>
  <c r="N108" i="7"/>
  <c r="L16" i="7"/>
  <c r="P14" i="7"/>
  <c r="P11" i="7" s="1"/>
  <c r="P18" i="7"/>
  <c r="K24" i="7"/>
  <c r="D122" i="7"/>
  <c r="D129" i="7"/>
  <c r="H97" i="7"/>
  <c r="I31" i="7"/>
  <c r="F31" i="7" s="1"/>
  <c r="G32" i="7"/>
  <c r="F109" i="7"/>
  <c r="G24" i="7"/>
  <c r="G23" i="7" s="1"/>
  <c r="D120" i="7"/>
  <c r="I14" i="7"/>
  <c r="I18" i="7"/>
  <c r="G19" i="7"/>
  <c r="I114" i="7"/>
  <c r="H19" i="7"/>
  <c r="H30" i="7"/>
  <c r="H29" i="7" s="1"/>
  <c r="F116" i="7"/>
  <c r="M114" i="7"/>
  <c r="J115" i="7"/>
  <c r="M32" i="7"/>
  <c r="J32" i="7" s="1"/>
  <c r="O114" i="7"/>
  <c r="F115" i="7"/>
  <c r="P114" i="7"/>
  <c r="H114" i="7"/>
  <c r="O27" i="7"/>
  <c r="O26" i="7" s="1"/>
  <c r="J113" i="7"/>
  <c r="G27" i="7"/>
  <c r="G26" i="7" s="1"/>
  <c r="P27" i="7"/>
  <c r="N28" i="7"/>
  <c r="H111" i="7"/>
  <c r="M27" i="7"/>
  <c r="M26" i="7" s="1"/>
  <c r="I111" i="7"/>
  <c r="F111" i="7" s="1"/>
  <c r="J110" i="7"/>
  <c r="L23" i="7"/>
  <c r="N24" i="7"/>
  <c r="J109" i="7"/>
  <c r="L108" i="7"/>
  <c r="M108" i="7"/>
  <c r="P21" i="7"/>
  <c r="D96" i="7"/>
  <c r="L21" i="7"/>
  <c r="L20" i="7" s="1"/>
  <c r="M21" i="7"/>
  <c r="H106" i="7"/>
  <c r="F106" i="7" s="1"/>
  <c r="P16" i="7"/>
  <c r="K17" i="7"/>
  <c r="J17" i="7" s="1"/>
  <c r="E19" i="7"/>
  <c r="O19" i="7"/>
  <c r="N101" i="7"/>
  <c r="F105" i="7"/>
  <c r="E101" i="7"/>
  <c r="J104" i="7"/>
  <c r="H101" i="7"/>
  <c r="J105" i="7"/>
  <c r="F103" i="7"/>
  <c r="J102" i="7"/>
  <c r="H17" i="7"/>
  <c r="F17" i="7" s="1"/>
  <c r="M19" i="7"/>
  <c r="J19" i="7" s="1"/>
  <c r="F104" i="7"/>
  <c r="O97" i="7"/>
  <c r="N12" i="7"/>
  <c r="N11" i="7" s="1"/>
  <c r="N27" i="7"/>
  <c r="J58" i="7"/>
  <c r="D86" i="7"/>
  <c r="L57" i="7"/>
  <c r="L69" i="7"/>
  <c r="J67" i="7"/>
  <c r="K75" i="7"/>
  <c r="J75" i="7" s="1"/>
  <c r="D95" i="7"/>
  <c r="J60" i="7"/>
  <c r="J64" i="7"/>
  <c r="D84" i="7"/>
  <c r="D88" i="7"/>
  <c r="P72" i="7"/>
  <c r="L12" i="7"/>
  <c r="L66" i="7"/>
  <c r="N23" i="7"/>
  <c r="D85" i="7"/>
  <c r="F60" i="7"/>
  <c r="I69" i="7"/>
  <c r="F69" i="7" s="1"/>
  <c r="H61" i="7"/>
  <c r="H28" i="7"/>
  <c r="F28" i="7" s="1"/>
  <c r="I25" i="7"/>
  <c r="F25" i="7" s="1"/>
  <c r="H24" i="7"/>
  <c r="H23" i="7" s="1"/>
  <c r="F59" i="7"/>
  <c r="E12" i="7"/>
  <c r="E11" i="7" s="1"/>
  <c r="E21" i="7"/>
  <c r="E20" i="7" s="1"/>
  <c r="E61" i="7"/>
  <c r="E69" i="7"/>
  <c r="H75" i="7"/>
  <c r="E75" i="7"/>
  <c r="O75" i="7"/>
  <c r="M75" i="7"/>
  <c r="I75" i="7"/>
  <c r="F77" i="7"/>
  <c r="P29" i="7"/>
  <c r="N29" i="7"/>
  <c r="G75" i="7"/>
  <c r="P75" i="7"/>
  <c r="P26" i="7"/>
  <c r="G72" i="7"/>
  <c r="F72" i="7" s="1"/>
  <c r="F73" i="7"/>
  <c r="F74" i="7"/>
  <c r="J28" i="7"/>
  <c r="J74" i="7"/>
  <c r="O69" i="7"/>
  <c r="M69" i="7"/>
  <c r="K69" i="7"/>
  <c r="N69" i="7"/>
  <c r="M24" i="7"/>
  <c r="M23" i="7" s="1"/>
  <c r="K21" i="7"/>
  <c r="K20" i="7" s="1"/>
  <c r="G66" i="7"/>
  <c r="H66" i="7"/>
  <c r="M20" i="7"/>
  <c r="J66" i="7"/>
  <c r="P22" i="7"/>
  <c r="G22" i="7"/>
  <c r="F22" i="7" s="1"/>
  <c r="D22" i="7" s="1"/>
  <c r="M66" i="7"/>
  <c r="H20" i="7"/>
  <c r="F65" i="7"/>
  <c r="E16" i="7"/>
  <c r="E15" i="7" s="1"/>
  <c r="I61" i="7"/>
  <c r="O18" i="7"/>
  <c r="I16" i="7"/>
  <c r="K18" i="7"/>
  <c r="J18" i="7" s="1"/>
  <c r="G61" i="7"/>
  <c r="F58" i="7"/>
  <c r="H11" i="7"/>
  <c r="G13" i="7"/>
  <c r="P57" i="7"/>
  <c r="I13" i="7"/>
  <c r="I11" i="7" s="1"/>
  <c r="D54" i="7"/>
  <c r="F52" i="7"/>
  <c r="D52" i="7" s="1"/>
  <c r="L26" i="7"/>
  <c r="J49" i="7"/>
  <c r="L33" i="7"/>
  <c r="I26" i="7"/>
  <c r="D45" i="7"/>
  <c r="O33" i="7"/>
  <c r="J22" i="7"/>
  <c r="I20" i="7"/>
  <c r="H33" i="7"/>
  <c r="D43" i="7"/>
  <c r="D41" i="7"/>
  <c r="N33" i="7"/>
  <c r="D37" i="7"/>
  <c r="F12" i="7"/>
  <c r="D186" i="5"/>
  <c r="D183" i="5"/>
  <c r="J131" i="5"/>
  <c r="D170" i="5"/>
  <c r="M118" i="5"/>
  <c r="P118" i="5"/>
  <c r="J125" i="5"/>
  <c r="J129" i="5"/>
  <c r="J133" i="5"/>
  <c r="D175" i="5"/>
  <c r="D179" i="5"/>
  <c r="D176" i="5"/>
  <c r="F121" i="5"/>
  <c r="I118" i="5"/>
  <c r="F122" i="5"/>
  <c r="F125" i="5"/>
  <c r="F129" i="5"/>
  <c r="F133" i="5"/>
  <c r="E118" i="5"/>
  <c r="K115" i="5"/>
  <c r="D168" i="5"/>
  <c r="N115" i="5"/>
  <c r="M115" i="5"/>
  <c r="J112" i="5"/>
  <c r="O111" i="5"/>
  <c r="D164" i="5"/>
  <c r="M111" i="5"/>
  <c r="F112" i="5"/>
  <c r="E111" i="5"/>
  <c r="O106" i="5"/>
  <c r="D159" i="5"/>
  <c r="D160" i="5"/>
  <c r="G106" i="5"/>
  <c r="E106" i="5"/>
  <c r="J100" i="5"/>
  <c r="J105" i="5"/>
  <c r="D154" i="5"/>
  <c r="D155" i="5"/>
  <c r="I99" i="5"/>
  <c r="H99" i="5"/>
  <c r="D156" i="5"/>
  <c r="J97" i="5"/>
  <c r="D146" i="5"/>
  <c r="D147" i="5"/>
  <c r="G94" i="5"/>
  <c r="E94" i="5"/>
  <c r="D144" i="5"/>
  <c r="P91" i="5"/>
  <c r="P13" i="5" s="1"/>
  <c r="N13" i="5"/>
  <c r="G91" i="5"/>
  <c r="G13" i="5" s="1"/>
  <c r="K134" i="5"/>
  <c r="L134" i="5"/>
  <c r="F138" i="5"/>
  <c r="I28" i="5"/>
  <c r="M134" i="5"/>
  <c r="H134" i="5"/>
  <c r="E134" i="5"/>
  <c r="O134" i="5"/>
  <c r="I134" i="5"/>
  <c r="F136" i="5"/>
  <c r="P134" i="5"/>
  <c r="F140" i="5"/>
  <c r="H118" i="5"/>
  <c r="J121" i="5"/>
  <c r="J124" i="5"/>
  <c r="O118" i="5"/>
  <c r="J128" i="5"/>
  <c r="J132" i="5"/>
  <c r="F120" i="5"/>
  <c r="F126" i="5"/>
  <c r="F130" i="5"/>
  <c r="L118" i="5"/>
  <c r="F127" i="5"/>
  <c r="F131" i="5"/>
  <c r="J126" i="5"/>
  <c r="J130" i="5"/>
  <c r="F124" i="5"/>
  <c r="F128" i="5"/>
  <c r="F132" i="5"/>
  <c r="H115" i="5"/>
  <c r="E115" i="5"/>
  <c r="O115" i="5"/>
  <c r="I115" i="5"/>
  <c r="F117" i="5"/>
  <c r="P115" i="5"/>
  <c r="N111" i="5"/>
  <c r="G111" i="5"/>
  <c r="P111" i="5"/>
  <c r="H111" i="5"/>
  <c r="J114" i="5"/>
  <c r="F113" i="5"/>
  <c r="F114" i="5"/>
  <c r="M106" i="5"/>
  <c r="H106" i="5"/>
  <c r="J109" i="5"/>
  <c r="I106" i="5"/>
  <c r="F106" i="5" s="1"/>
  <c r="P106" i="5"/>
  <c r="L106" i="5"/>
  <c r="F108" i="5"/>
  <c r="G99" i="5"/>
  <c r="P99" i="5"/>
  <c r="J104" i="5"/>
  <c r="J96" i="5"/>
  <c r="I94" i="5"/>
  <c r="F94" i="5" s="1"/>
  <c r="J94" i="5"/>
  <c r="D90" i="5"/>
  <c r="N94" i="5"/>
  <c r="E14" i="5"/>
  <c r="H14" i="5"/>
  <c r="M14" i="5"/>
  <c r="E28" i="5"/>
  <c r="E13" i="5"/>
  <c r="I91" i="5"/>
  <c r="I13" i="5" s="1"/>
  <c r="P28" i="5"/>
  <c r="J82" i="5"/>
  <c r="D89" i="5"/>
  <c r="D86" i="5"/>
  <c r="D88" i="5"/>
  <c r="D69" i="5"/>
  <c r="D77" i="5"/>
  <c r="D74" i="5"/>
  <c r="D78" i="5"/>
  <c r="D67" i="5"/>
  <c r="D71" i="5"/>
  <c r="D79" i="5"/>
  <c r="D68" i="5"/>
  <c r="D72" i="5"/>
  <c r="D80" i="5"/>
  <c r="F66" i="5"/>
  <c r="D66" i="5" s="1"/>
  <c r="D76" i="5"/>
  <c r="J63" i="5"/>
  <c r="D65" i="5"/>
  <c r="D60" i="5"/>
  <c r="J52" i="5"/>
  <c r="P29" i="5"/>
  <c r="P25" i="5" s="1"/>
  <c r="D55" i="5"/>
  <c r="D46" i="5"/>
  <c r="D17" i="5" s="1"/>
  <c r="F43" i="5"/>
  <c r="D42" i="5"/>
  <c r="F40" i="5"/>
  <c r="D40" i="5" s="1"/>
  <c r="M29" i="5"/>
  <c r="M25" i="5" s="1"/>
  <c r="J37" i="5"/>
  <c r="J15" i="5" s="1"/>
  <c r="D37" i="5"/>
  <c r="D15" i="5" s="1"/>
  <c r="D36" i="5"/>
  <c r="O29" i="5"/>
  <c r="O25" i="5" s="1"/>
  <c r="D34" i="5"/>
  <c r="D13" i="5" s="1"/>
  <c r="L13" i="5"/>
  <c r="L29" i="5"/>
  <c r="L25" i="5" s="1"/>
  <c r="D30" i="5"/>
  <c r="D11" i="5" s="1"/>
  <c r="F11" i="5"/>
  <c r="K118" i="5"/>
  <c r="E114" i="7"/>
  <c r="E31" i="7"/>
  <c r="E29" i="7" s="1"/>
  <c r="I57" i="11"/>
  <c r="I12" i="11"/>
  <c r="F59" i="11"/>
  <c r="G13" i="11"/>
  <c r="G57" i="11"/>
  <c r="K99" i="5"/>
  <c r="M12" i="5"/>
  <c r="G28" i="5"/>
  <c r="G29" i="5"/>
  <c r="D35" i="5"/>
  <c r="D14" i="5" s="1"/>
  <c r="D41" i="5"/>
  <c r="D58" i="5"/>
  <c r="F82" i="5"/>
  <c r="D82" i="5" s="1"/>
  <c r="F95" i="5"/>
  <c r="F97" i="5"/>
  <c r="I29" i="5"/>
  <c r="I25" i="5" s="1"/>
  <c r="D39" i="5"/>
  <c r="N99" i="5"/>
  <c r="K111" i="5"/>
  <c r="N118" i="5"/>
  <c r="E26" i="7"/>
  <c r="O66" i="7"/>
  <c r="O21" i="7"/>
  <c r="O20" i="7" s="1"/>
  <c r="H29" i="5"/>
  <c r="H25" i="5" s="1"/>
  <c r="D52" i="5"/>
  <c r="D20" i="5" s="1"/>
  <c r="M57" i="7"/>
  <c r="M13" i="7"/>
  <c r="M11" i="7" s="1"/>
  <c r="J31" i="5"/>
  <c r="J12" i="5" s="1"/>
  <c r="J108" i="5"/>
  <c r="K106" i="5"/>
  <c r="G118" i="5"/>
  <c r="N61" i="7"/>
  <c r="N16" i="7"/>
  <c r="P13" i="11"/>
  <c r="P11" i="11" s="1"/>
  <c r="N57" i="11"/>
  <c r="N134" i="5"/>
  <c r="M13" i="5"/>
  <c r="L14" i="5"/>
  <c r="L28" i="5"/>
  <c r="J28" i="5" s="1"/>
  <c r="D70" i="5"/>
  <c r="K91" i="5"/>
  <c r="N106" i="5"/>
  <c r="L29" i="7"/>
  <c r="J31" i="7"/>
  <c r="O101" i="7"/>
  <c r="P33" i="7"/>
  <c r="J73" i="7"/>
  <c r="K72" i="7"/>
  <c r="J72" i="7" s="1"/>
  <c r="K27" i="7"/>
  <c r="I31" i="11"/>
  <c r="I29" i="11" s="1"/>
  <c r="I75" i="11"/>
  <c r="G134" i="5"/>
  <c r="M25" i="11"/>
  <c r="M69" i="11"/>
  <c r="J69" i="11" s="1"/>
  <c r="D81" i="5"/>
  <c r="F107" i="5"/>
  <c r="F137" i="5"/>
  <c r="M16" i="7"/>
  <c r="M15" i="7" s="1"/>
  <c r="N21" i="7"/>
  <c r="N20" i="7" s="1"/>
  <c r="F32" i="7"/>
  <c r="I33" i="7"/>
  <c r="F38" i="7"/>
  <c r="J46" i="7"/>
  <c r="J59" i="7"/>
  <c r="K101" i="7"/>
  <c r="J101" i="7" s="1"/>
  <c r="J71" i="11"/>
  <c r="F77" i="11"/>
  <c r="D75" i="5"/>
  <c r="D87" i="5"/>
  <c r="F92" i="5"/>
  <c r="F14" i="5" s="1"/>
  <c r="J98" i="5"/>
  <c r="J110" i="5"/>
  <c r="J117" i="5"/>
  <c r="J136" i="5"/>
  <c r="J140" i="5"/>
  <c r="D153" i="5"/>
  <c r="D173" i="5"/>
  <c r="K12" i="7"/>
  <c r="J12" i="7" s="1"/>
  <c r="G21" i="7"/>
  <c r="O23" i="7"/>
  <c r="D48" i="7"/>
  <c r="G57" i="7"/>
  <c r="D94" i="7"/>
  <c r="G97" i="7"/>
  <c r="F97" i="7" s="1"/>
  <c r="P97" i="7"/>
  <c r="P96" i="7" s="1"/>
  <c r="H56" i="11"/>
  <c r="O56" i="11"/>
  <c r="M16" i="11"/>
  <c r="M15" i="11" s="1"/>
  <c r="M61" i="11"/>
  <c r="M101" i="11"/>
  <c r="M114" i="11"/>
  <c r="F45" i="5"/>
  <c r="D45" i="5" s="1"/>
  <c r="D16" i="5" s="1"/>
  <c r="F57" i="5"/>
  <c r="D57" i="5" s="1"/>
  <c r="F93" i="5"/>
  <c r="J107" i="5"/>
  <c r="J137" i="5"/>
  <c r="D158" i="5"/>
  <c r="D177" i="5"/>
  <c r="H18" i="7"/>
  <c r="I30" i="7"/>
  <c r="I29" i="7" s="1"/>
  <c r="M33" i="7"/>
  <c r="J38" i="7"/>
  <c r="K57" i="7"/>
  <c r="I57" i="7"/>
  <c r="I97" i="7"/>
  <c r="F102" i="7"/>
  <c r="G101" i="7"/>
  <c r="F101" i="7" s="1"/>
  <c r="E16" i="11"/>
  <c r="E61" i="11"/>
  <c r="J64" i="11"/>
  <c r="F70" i="11"/>
  <c r="F73" i="11"/>
  <c r="G72" i="11"/>
  <c r="F72" i="11" s="1"/>
  <c r="G27" i="11"/>
  <c r="P27" i="11"/>
  <c r="P26" i="11" s="1"/>
  <c r="P72" i="11"/>
  <c r="N28" i="11"/>
  <c r="N72" i="11"/>
  <c r="M75" i="11"/>
  <c r="M30" i="11"/>
  <c r="M108" i="11"/>
  <c r="M24" i="11"/>
  <c r="J24" i="11" s="1"/>
  <c r="J110" i="11"/>
  <c r="K25" i="11"/>
  <c r="K108" i="11"/>
  <c r="D49" i="5"/>
  <c r="D18" i="5" s="1"/>
  <c r="D61" i="5"/>
  <c r="D73" i="5"/>
  <c r="D85" i="5"/>
  <c r="J92" i="5"/>
  <c r="J14" i="5" s="1"/>
  <c r="F109" i="5"/>
  <c r="F116" i="5"/>
  <c r="F135" i="5"/>
  <c r="F139" i="5"/>
  <c r="D151" i="5"/>
  <c r="D171" i="5"/>
  <c r="D40" i="7"/>
  <c r="F49" i="7"/>
  <c r="L61" i="7"/>
  <c r="F64" i="7"/>
  <c r="J68" i="7"/>
  <c r="F108" i="7"/>
  <c r="F110" i="7"/>
  <c r="D52" i="11"/>
  <c r="J138" i="5"/>
  <c r="D163" i="5"/>
  <c r="D181" i="5"/>
  <c r="O11" i="7"/>
  <c r="F14" i="7"/>
  <c r="J63" i="7"/>
  <c r="K61" i="7"/>
  <c r="L66" i="11"/>
  <c r="L21" i="11"/>
  <c r="L20" i="11" s="1"/>
  <c r="I66" i="11"/>
  <c r="I22" i="11"/>
  <c r="F22" i="11" s="1"/>
  <c r="D22" i="11" s="1"/>
  <c r="I69" i="11"/>
  <c r="I24" i="11"/>
  <c r="I23" i="11" s="1"/>
  <c r="E30" i="11"/>
  <c r="E75" i="11"/>
  <c r="D81" i="11"/>
  <c r="H101" i="11"/>
  <c r="H16" i="11"/>
  <c r="H15" i="11" s="1"/>
  <c r="E101" i="11"/>
  <c r="E17" i="11"/>
  <c r="O101" i="11"/>
  <c r="O96" i="11" s="1"/>
  <c r="O17" i="11"/>
  <c r="J105" i="11"/>
  <c r="K19" i="11"/>
  <c r="E114" i="11"/>
  <c r="E31" i="11"/>
  <c r="D47" i="5"/>
  <c r="D19" i="5" s="1"/>
  <c r="F91" i="5"/>
  <c r="F13" i="5" s="1"/>
  <c r="D43" i="11"/>
  <c r="L26" i="11"/>
  <c r="J27" i="11"/>
  <c r="O31" i="11"/>
  <c r="M32" i="11"/>
  <c r="N97" i="11"/>
  <c r="N12" i="11"/>
  <c r="N11" i="11" s="1"/>
  <c r="J76" i="7"/>
  <c r="J99" i="7"/>
  <c r="M31" i="11"/>
  <c r="J31" i="11" s="1"/>
  <c r="F116" i="11"/>
  <c r="D124" i="11"/>
  <c r="F62" i="7"/>
  <c r="F70" i="7"/>
  <c r="F78" i="7"/>
  <c r="D89" i="7"/>
  <c r="F107" i="7"/>
  <c r="K108" i="7"/>
  <c r="G114" i="7"/>
  <c r="E32" i="8"/>
  <c r="F14" i="11"/>
  <c r="K21" i="11"/>
  <c r="D40" i="11"/>
  <c r="F60" i="11"/>
  <c r="K61" i="11"/>
  <c r="G66" i="11"/>
  <c r="G69" i="11"/>
  <c r="L72" i="11"/>
  <c r="J72" i="11" s="1"/>
  <c r="F74" i="11"/>
  <c r="K75" i="11"/>
  <c r="D96" i="11"/>
  <c r="J102" i="11"/>
  <c r="J115" i="11"/>
  <c r="J65" i="7"/>
  <c r="J77" i="7"/>
  <c r="D83" i="7"/>
  <c r="J100" i="7"/>
  <c r="J106" i="7"/>
  <c r="D133" i="7"/>
  <c r="E47" i="10"/>
  <c r="E48" i="10" s="1"/>
  <c r="L30" i="11"/>
  <c r="L29" i="11" s="1"/>
  <c r="G31" i="11"/>
  <c r="O33" i="11"/>
  <c r="E57" i="11"/>
  <c r="J59" i="11"/>
  <c r="J73" i="11"/>
  <c r="D86" i="11"/>
  <c r="M97" i="11"/>
  <c r="F104" i="11"/>
  <c r="I106" i="11"/>
  <c r="F106" i="11" s="1"/>
  <c r="F109" i="11"/>
  <c r="I111" i="11"/>
  <c r="F117" i="11"/>
  <c r="D128" i="11"/>
  <c r="F63" i="7"/>
  <c r="F71" i="7"/>
  <c r="F98" i="7"/>
  <c r="F112" i="7"/>
  <c r="F97" i="11"/>
  <c r="F46" i="7"/>
  <c r="D56" i="7"/>
  <c r="J62" i="7"/>
  <c r="J70" i="7"/>
  <c r="J78" i="7"/>
  <c r="D87" i="7"/>
  <c r="J107" i="7"/>
  <c r="D121" i="7"/>
  <c r="E10" i="8"/>
  <c r="J14" i="11"/>
  <c r="N20" i="11"/>
  <c r="J60" i="11"/>
  <c r="J74" i="11"/>
  <c r="D90" i="11"/>
  <c r="F105" i="11"/>
  <c r="F110" i="11"/>
  <c r="D132" i="11"/>
  <c r="F76" i="7"/>
  <c r="D81" i="7"/>
  <c r="F99" i="7"/>
  <c r="F113" i="7"/>
  <c r="D131" i="7"/>
  <c r="E43" i="8"/>
  <c r="F32" i="11"/>
  <c r="I33" i="11"/>
  <c r="F38" i="11"/>
  <c r="F33" i="11" s="1"/>
  <c r="D44" i="11"/>
  <c r="F58" i="11"/>
  <c r="F68" i="11"/>
  <c r="D84" i="11"/>
  <c r="J104" i="11"/>
  <c r="J109" i="11"/>
  <c r="J117" i="11"/>
  <c r="D126" i="11"/>
  <c r="J71" i="7"/>
  <c r="D91" i="7"/>
  <c r="J98" i="7"/>
  <c r="J112" i="7"/>
  <c r="D125" i="7"/>
  <c r="E28" i="8"/>
  <c r="J34" i="11"/>
  <c r="D42" i="11"/>
  <c r="J46" i="11"/>
  <c r="J49" i="11"/>
  <c r="D53" i="11"/>
  <c r="J67" i="11"/>
  <c r="D94" i="11"/>
  <c r="F102" i="11"/>
  <c r="F115" i="11"/>
  <c r="D120" i="11"/>
  <c r="D43" i="5"/>
  <c r="D63" i="5"/>
  <c r="D34" i="4"/>
  <c r="E15" i="5"/>
  <c r="G15" i="5"/>
  <c r="K15" i="5"/>
  <c r="O15" i="5"/>
  <c r="E29" i="5"/>
  <c r="K29" i="5"/>
  <c r="D53" i="5"/>
  <c r="D21" i="5" s="1"/>
  <c r="E27" i="9"/>
  <c r="G15" i="7"/>
  <c r="E23" i="7"/>
  <c r="J30" i="7"/>
  <c r="K29" i="7"/>
  <c r="O29" i="7"/>
  <c r="E33" i="7"/>
  <c r="J34" i="7"/>
  <c r="K33" i="7"/>
  <c r="D38" i="7"/>
  <c r="E27" i="10"/>
  <c r="E25" i="10"/>
  <c r="E61" i="10" s="1"/>
  <c r="G29" i="7"/>
  <c r="F34" i="7"/>
  <c r="G33" i="7"/>
  <c r="K96" i="7"/>
  <c r="K134" i="7" s="1"/>
  <c r="E63" i="10"/>
  <c r="E11" i="11"/>
  <c r="K23" i="11"/>
  <c r="G15" i="11"/>
  <c r="K29" i="11"/>
  <c r="E33" i="11"/>
  <c r="G33" i="11"/>
  <c r="K33" i="11"/>
  <c r="J57" i="11"/>
  <c r="J66" i="11" l="1"/>
  <c r="J115" i="5"/>
  <c r="F19" i="7"/>
  <c r="L15" i="7"/>
  <c r="L10" i="7" s="1"/>
  <c r="D39" i="6" s="1"/>
  <c r="J97" i="7"/>
  <c r="L11" i="11"/>
  <c r="N15" i="11"/>
  <c r="P96" i="11"/>
  <c r="I56" i="7"/>
  <c r="N15" i="7"/>
  <c r="I11" i="11"/>
  <c r="I15" i="7"/>
  <c r="J61" i="11"/>
  <c r="N26" i="11"/>
  <c r="J69" i="7"/>
  <c r="O56" i="7"/>
  <c r="F115" i="5"/>
  <c r="E56" i="7"/>
  <c r="L11" i="7"/>
  <c r="E96" i="7"/>
  <c r="O26" i="11"/>
  <c r="K23" i="7"/>
  <c r="J23" i="7" s="1"/>
  <c r="J111" i="7"/>
  <c r="J33" i="7"/>
  <c r="D46" i="11"/>
  <c r="J99" i="5"/>
  <c r="J118" i="5"/>
  <c r="H90" i="5"/>
  <c r="H26" i="5" s="1"/>
  <c r="N96" i="7"/>
  <c r="N134" i="7" s="1"/>
  <c r="N238" i="5" s="1"/>
  <c r="N200" i="5" s="1"/>
  <c r="P15" i="7"/>
  <c r="J114" i="7"/>
  <c r="E27" i="8"/>
  <c r="E41" i="8" s="1"/>
  <c r="J12" i="11"/>
  <c r="J114" i="11"/>
  <c r="J32" i="11"/>
  <c r="J101" i="11"/>
  <c r="H26" i="11"/>
  <c r="I15" i="11"/>
  <c r="F15" i="11" s="1"/>
  <c r="F108" i="11"/>
  <c r="F13" i="11"/>
  <c r="D13" i="11" s="1"/>
  <c r="O29" i="11"/>
  <c r="L96" i="11"/>
  <c r="L134" i="11" s="1"/>
  <c r="E29" i="11"/>
  <c r="N96" i="11"/>
  <c r="N134" i="11" s="1"/>
  <c r="F111" i="11"/>
  <c r="H96" i="11"/>
  <c r="H134" i="11" s="1"/>
  <c r="J108" i="11"/>
  <c r="K96" i="11"/>
  <c r="K134" i="11" s="1"/>
  <c r="G96" i="11"/>
  <c r="G134" i="11" s="1"/>
  <c r="P134" i="11"/>
  <c r="F16" i="11"/>
  <c r="J19" i="11"/>
  <c r="D19" i="11" s="1"/>
  <c r="J16" i="11"/>
  <c r="E96" i="11"/>
  <c r="E134" i="11" s="1"/>
  <c r="K11" i="11"/>
  <c r="O15" i="11"/>
  <c r="F75" i="11"/>
  <c r="F57" i="11"/>
  <c r="D32" i="11"/>
  <c r="F31" i="11"/>
  <c r="D31" i="11" s="1"/>
  <c r="N56" i="11"/>
  <c r="J28" i="11"/>
  <c r="D28" i="11" s="1"/>
  <c r="J26" i="11"/>
  <c r="F23" i="11"/>
  <c r="F24" i="11"/>
  <c r="D24" i="11" s="1"/>
  <c r="M56" i="11"/>
  <c r="E56" i="11"/>
  <c r="L10" i="11"/>
  <c r="D16" i="6" s="1"/>
  <c r="F69" i="11"/>
  <c r="J25" i="11"/>
  <c r="D25" i="11" s="1"/>
  <c r="I20" i="11"/>
  <c r="F66" i="11"/>
  <c r="L56" i="11"/>
  <c r="F21" i="11"/>
  <c r="E15" i="11"/>
  <c r="G56" i="11"/>
  <c r="P56" i="11"/>
  <c r="P10" i="11"/>
  <c r="D33" i="6" s="1"/>
  <c r="D49" i="11"/>
  <c r="J33" i="11"/>
  <c r="D33" i="11" s="1"/>
  <c r="M23" i="11"/>
  <c r="J23" i="11" s="1"/>
  <c r="H10" i="11"/>
  <c r="D18" i="11"/>
  <c r="N10" i="11"/>
  <c r="D18" i="6" s="1"/>
  <c r="D14" i="11"/>
  <c r="G11" i="11"/>
  <c r="F11" i="11" s="1"/>
  <c r="F12" i="11"/>
  <c r="M96" i="7"/>
  <c r="M134" i="7" s="1"/>
  <c r="M238" i="5" s="1"/>
  <c r="M200" i="5" s="1"/>
  <c r="P20" i="7"/>
  <c r="L96" i="7"/>
  <c r="L134" i="7" s="1"/>
  <c r="L238" i="5" s="1"/>
  <c r="L200" i="5" s="1"/>
  <c r="J16" i="7"/>
  <c r="D16" i="7" s="1"/>
  <c r="N26" i="7"/>
  <c r="M29" i="7"/>
  <c r="M10" i="7" s="1"/>
  <c r="D40" i="6" s="1"/>
  <c r="D28" i="7"/>
  <c r="I96" i="7"/>
  <c r="I134" i="7" s="1"/>
  <c r="I238" i="5" s="1"/>
  <c r="I200" i="5" s="1"/>
  <c r="H96" i="7"/>
  <c r="H134" i="7" s="1"/>
  <c r="H238" i="5" s="1"/>
  <c r="H200" i="5" s="1"/>
  <c r="F114" i="7"/>
  <c r="F96" i="7" s="1"/>
  <c r="H26" i="7"/>
  <c r="F26" i="7" s="1"/>
  <c r="E134" i="7"/>
  <c r="E238" i="5" s="1"/>
  <c r="E200" i="5" s="1"/>
  <c r="F27" i="7"/>
  <c r="F24" i="7"/>
  <c r="I23" i="7"/>
  <c r="J108" i="7"/>
  <c r="J96" i="7" s="1"/>
  <c r="P134" i="7"/>
  <c r="P238" i="5" s="1"/>
  <c r="P200" i="5" s="1"/>
  <c r="H15" i="7"/>
  <c r="O15" i="7"/>
  <c r="O10" i="7" s="1"/>
  <c r="D55" i="6" s="1"/>
  <c r="O96" i="7"/>
  <c r="O134" i="7" s="1"/>
  <c r="O238" i="5" s="1"/>
  <c r="O200" i="5" s="1"/>
  <c r="D12" i="7"/>
  <c r="L56" i="7"/>
  <c r="P56" i="7"/>
  <c r="J20" i="7"/>
  <c r="K15" i="7"/>
  <c r="J15" i="7" s="1"/>
  <c r="F16" i="7"/>
  <c r="F13" i="7"/>
  <c r="G11" i="7"/>
  <c r="F11" i="7" s="1"/>
  <c r="D17" i="7"/>
  <c r="D19" i="7"/>
  <c r="F61" i="7"/>
  <c r="F66" i="7"/>
  <c r="H56" i="7"/>
  <c r="D32" i="7"/>
  <c r="F75" i="7"/>
  <c r="J24" i="7"/>
  <c r="M56" i="7"/>
  <c r="N56" i="7"/>
  <c r="D25" i="7"/>
  <c r="P10" i="7"/>
  <c r="D56" i="6" s="1"/>
  <c r="J21" i="7"/>
  <c r="H10" i="7"/>
  <c r="D14" i="7"/>
  <c r="F30" i="7"/>
  <c r="D30" i="7" s="1"/>
  <c r="D49" i="7"/>
  <c r="D46" i="7"/>
  <c r="F23" i="7"/>
  <c r="F15" i="7"/>
  <c r="J13" i="7"/>
  <c r="J134" i="5"/>
  <c r="F134" i="5"/>
  <c r="F118" i="5"/>
  <c r="O90" i="5"/>
  <c r="O26" i="5" s="1"/>
  <c r="M90" i="5"/>
  <c r="M26" i="5" s="1"/>
  <c r="J111" i="5"/>
  <c r="E36" i="9"/>
  <c r="E35" i="9" s="1"/>
  <c r="E90" i="5"/>
  <c r="E26" i="5" s="1"/>
  <c r="F99" i="5"/>
  <c r="F28" i="5"/>
  <c r="N90" i="5"/>
  <c r="N26" i="5" s="1"/>
  <c r="L90" i="5"/>
  <c r="L26" i="5" s="1"/>
  <c r="P90" i="5"/>
  <c r="P26" i="5" s="1"/>
  <c r="F111" i="5"/>
  <c r="I90" i="5"/>
  <c r="I26" i="5" s="1"/>
  <c r="J106" i="5"/>
  <c r="D31" i="5"/>
  <c r="D12" i="5" s="1"/>
  <c r="F29" i="5"/>
  <c r="G25" i="5"/>
  <c r="F25" i="5" s="1"/>
  <c r="D28" i="5"/>
  <c r="D38" i="11"/>
  <c r="M96" i="11"/>
  <c r="M134" i="11" s="1"/>
  <c r="J21" i="11"/>
  <c r="K20" i="11"/>
  <c r="J20" i="11" s="1"/>
  <c r="D17" i="11"/>
  <c r="J57" i="7"/>
  <c r="K56" i="7"/>
  <c r="J97" i="11"/>
  <c r="J96" i="11" s="1"/>
  <c r="G29" i="11"/>
  <c r="F29" i="11" s="1"/>
  <c r="F33" i="7"/>
  <c r="J27" i="7"/>
  <c r="K26" i="7"/>
  <c r="J26" i="7" s="1"/>
  <c r="J91" i="5"/>
  <c r="J13" i="5" s="1"/>
  <c r="E57" i="8" s="1"/>
  <c r="K13" i="5"/>
  <c r="G26" i="11"/>
  <c r="F26" i="11" s="1"/>
  <c r="F27" i="11"/>
  <c r="D27" i="11" s="1"/>
  <c r="D31" i="7"/>
  <c r="F29" i="7"/>
  <c r="M29" i="11"/>
  <c r="J29" i="11" s="1"/>
  <c r="G20" i="7"/>
  <c r="F20" i="7" s="1"/>
  <c r="F21" i="7"/>
  <c r="D22" i="5"/>
  <c r="I10" i="7"/>
  <c r="K56" i="11"/>
  <c r="F101" i="11"/>
  <c r="F96" i="11" s="1"/>
  <c r="I96" i="11"/>
  <c r="I134" i="11" s="1"/>
  <c r="G56" i="7"/>
  <c r="F57" i="7"/>
  <c r="K15" i="11"/>
  <c r="J15" i="11" s="1"/>
  <c r="G96" i="7"/>
  <c r="G134" i="7" s="1"/>
  <c r="G238" i="5" s="1"/>
  <c r="G90" i="5"/>
  <c r="G26" i="5" s="1"/>
  <c r="D34" i="11"/>
  <c r="J75" i="11"/>
  <c r="J56" i="11" s="1"/>
  <c r="J30" i="11"/>
  <c r="D30" i="11" s="1"/>
  <c r="O134" i="11"/>
  <c r="J61" i="7"/>
  <c r="F18" i="7"/>
  <c r="D18" i="7" s="1"/>
  <c r="I56" i="11"/>
  <c r="K90" i="5"/>
  <c r="K26" i="5" s="1"/>
  <c r="K11" i="7"/>
  <c r="J11" i="7" s="1"/>
  <c r="J11" i="11"/>
  <c r="K238" i="5"/>
  <c r="D34" i="7"/>
  <c r="J29" i="5"/>
  <c r="D29" i="5" s="1"/>
  <c r="D23" i="5" s="1"/>
  <c r="K25" i="5"/>
  <c r="J29" i="7"/>
  <c r="E10" i="7"/>
  <c r="D42" i="6" s="1"/>
  <c r="E25" i="5"/>
  <c r="D12" i="11" l="1"/>
  <c r="I10" i="11"/>
  <c r="N10" i="7"/>
  <c r="D41" i="6" s="1"/>
  <c r="D33" i="7"/>
  <c r="E56" i="8"/>
  <c r="D26" i="11"/>
  <c r="D16" i="11"/>
  <c r="O10" i="11"/>
  <c r="D32" i="6" s="1"/>
  <c r="D23" i="11"/>
  <c r="F134" i="11"/>
  <c r="J134" i="11"/>
  <c r="D15" i="11"/>
  <c r="E10" i="11"/>
  <c r="D19" i="6" s="1"/>
  <c r="F56" i="11"/>
  <c r="F20" i="11"/>
  <c r="D20" i="11" s="1"/>
  <c r="D21" i="11"/>
  <c r="D31" i="6"/>
  <c r="K10" i="11"/>
  <c r="D15" i="6" s="1"/>
  <c r="G10" i="11"/>
  <c r="D23" i="7"/>
  <c r="F134" i="7"/>
  <c r="J134" i="7"/>
  <c r="D27" i="7"/>
  <c r="D24" i="7"/>
  <c r="D21" i="7"/>
  <c r="D20" i="7"/>
  <c r="D15" i="7"/>
  <c r="D13" i="7"/>
  <c r="D29" i="7"/>
  <c r="F56" i="7"/>
  <c r="D26" i="7"/>
  <c r="D54" i="6"/>
  <c r="D11" i="7"/>
  <c r="G10" i="7"/>
  <c r="F10" i="7"/>
  <c r="D36" i="6" s="1"/>
  <c r="K10" i="7"/>
  <c r="D38" i="6" s="1"/>
  <c r="J26" i="5"/>
  <c r="F26" i="5"/>
  <c r="F90" i="5"/>
  <c r="J90" i="5"/>
  <c r="D29" i="11"/>
  <c r="M10" i="11"/>
  <c r="D17" i="6" s="1"/>
  <c r="J56" i="7"/>
  <c r="J10" i="7"/>
  <c r="D37" i="6" s="1"/>
  <c r="J10" i="11"/>
  <c r="D14" i="6" s="1"/>
  <c r="F238" i="5"/>
  <c r="G200" i="5"/>
  <c r="F200" i="5" s="1"/>
  <c r="J238" i="5"/>
  <c r="K200" i="5"/>
  <c r="J200" i="5" s="1"/>
  <c r="J25" i="5"/>
  <c r="D25" i="5" s="1"/>
  <c r="D11" i="11"/>
  <c r="D134" i="7" l="1"/>
  <c r="D134" i="11"/>
  <c r="D10" i="11"/>
  <c r="F10" i="11"/>
  <c r="D13" i="6" s="1"/>
  <c r="D12" i="6" s="1"/>
  <c r="D30" i="6" s="1"/>
  <c r="D20" i="6" s="1"/>
  <c r="D10" i="7"/>
  <c r="D35" i="6"/>
  <c r="D53" i="6" s="1"/>
  <c r="D43" i="6" s="1"/>
  <c r="D26" i="5"/>
  <c r="I237" i="5" s="1"/>
  <c r="D238" i="5"/>
  <c r="H237" i="5" l="1"/>
  <c r="H228" i="5" s="1"/>
  <c r="P237" i="5"/>
  <c r="P223" i="5" s="1"/>
  <c r="K237" i="5"/>
  <c r="K231" i="5" s="1"/>
  <c r="L237" i="5"/>
  <c r="N237" i="5"/>
  <c r="N227" i="5" s="1"/>
  <c r="E237" i="5"/>
  <c r="E232" i="5" s="1"/>
  <c r="O237" i="5"/>
  <c r="O229" i="5" s="1"/>
  <c r="M237" i="5"/>
  <c r="M227" i="5" s="1"/>
  <c r="G237" i="5"/>
  <c r="G232" i="5" s="1"/>
  <c r="K234" i="5"/>
  <c r="K205" i="5"/>
  <c r="K216" i="5"/>
  <c r="K226" i="5"/>
  <c r="K211" i="5"/>
  <c r="K207" i="5"/>
  <c r="K203" i="5"/>
  <c r="K220" i="5"/>
  <c r="K204" i="5"/>
  <c r="K223" i="5"/>
  <c r="K208" i="5"/>
  <c r="K235" i="5"/>
  <c r="K215" i="5"/>
  <c r="K212" i="5"/>
  <c r="K224" i="5"/>
  <c r="K199" i="5"/>
  <c r="K225" i="5"/>
  <c r="K196" i="5"/>
  <c r="K217" i="5"/>
  <c r="K227" i="5"/>
  <c r="K190" i="5"/>
  <c r="K197" i="5"/>
  <c r="K218" i="5"/>
  <c r="K228" i="5"/>
  <c r="K202" i="5"/>
  <c r="K21" i="5" s="1"/>
  <c r="K198" i="5"/>
  <c r="K18" i="5" s="1"/>
  <c r="K219" i="5"/>
  <c r="K232" i="5"/>
  <c r="K191" i="5"/>
  <c r="K188" i="5"/>
  <c r="K187" i="5" s="1"/>
  <c r="K209" i="5"/>
  <c r="K221" i="5"/>
  <c r="K229" i="5"/>
  <c r="K193" i="5"/>
  <c r="K192" i="5" s="1"/>
  <c r="K195" i="5"/>
  <c r="K214" i="5"/>
  <c r="K222" i="5"/>
  <c r="J237" i="5"/>
  <c r="E235" i="5"/>
  <c r="E234" i="5"/>
  <c r="E217" i="5"/>
  <c r="E199" i="5"/>
  <c r="E205" i="5"/>
  <c r="O232" i="5"/>
  <c r="O225" i="5"/>
  <c r="O224" i="5"/>
  <c r="O198" i="5"/>
  <c r="O18" i="5" s="1"/>
  <c r="L229" i="5"/>
  <c r="L228" i="5"/>
  <c r="L227" i="5"/>
  <c r="L226" i="5"/>
  <c r="L225" i="5"/>
  <c r="L224" i="5"/>
  <c r="L223" i="5"/>
  <c r="L222" i="5"/>
  <c r="L221" i="5"/>
  <c r="L220" i="5"/>
  <c r="L219" i="5"/>
  <c r="L218" i="5"/>
  <c r="L235" i="5"/>
  <c r="L234" i="5"/>
  <c r="L233" i="5"/>
  <c r="L232" i="5"/>
  <c r="L231" i="5"/>
  <c r="L212" i="5"/>
  <c r="L211" i="5"/>
  <c r="L205" i="5"/>
  <c r="L204" i="5"/>
  <c r="L203" i="5"/>
  <c r="L202" i="5"/>
  <c r="L193" i="5"/>
  <c r="L192" i="5" s="1"/>
  <c r="L217" i="5"/>
  <c r="L216" i="5"/>
  <c r="L215" i="5"/>
  <c r="L214" i="5"/>
  <c r="L209" i="5"/>
  <c r="L208" i="5"/>
  <c r="L207" i="5"/>
  <c r="L199" i="5"/>
  <c r="L198" i="5"/>
  <c r="L18" i="5" s="1"/>
  <c r="L197" i="5"/>
  <c r="L196" i="5"/>
  <c r="L195" i="5"/>
  <c r="L191" i="5"/>
  <c r="L190" i="5"/>
  <c r="L188" i="5"/>
  <c r="L187" i="5" s="1"/>
  <c r="P190" i="5"/>
  <c r="M217" i="5"/>
  <c r="M216" i="5"/>
  <c r="I235" i="5"/>
  <c r="I234" i="5"/>
  <c r="I233" i="5"/>
  <c r="I232" i="5"/>
  <c r="I231" i="5"/>
  <c r="I229" i="5"/>
  <c r="I228" i="5"/>
  <c r="I227" i="5"/>
  <c r="I226" i="5"/>
  <c r="I225" i="5"/>
  <c r="I224" i="5"/>
  <c r="I223" i="5"/>
  <c r="I222" i="5"/>
  <c r="I221" i="5"/>
  <c r="I220" i="5"/>
  <c r="I219" i="5"/>
  <c r="I218" i="5"/>
  <c r="I217" i="5"/>
  <c r="I216" i="5"/>
  <c r="I215" i="5"/>
  <c r="I214" i="5"/>
  <c r="I209" i="5"/>
  <c r="I208" i="5"/>
  <c r="I207" i="5"/>
  <c r="I199" i="5"/>
  <c r="I198" i="5"/>
  <c r="I18" i="5" s="1"/>
  <c r="I197" i="5"/>
  <c r="I196" i="5"/>
  <c r="I195" i="5"/>
  <c r="I212" i="5"/>
  <c r="I211" i="5"/>
  <c r="I205" i="5"/>
  <c r="I204" i="5"/>
  <c r="I203" i="5"/>
  <c r="I202" i="5"/>
  <c r="I193" i="5"/>
  <c r="I192" i="5" s="1"/>
  <c r="I188" i="5"/>
  <c r="I187" i="5" s="1"/>
  <c r="I191" i="5"/>
  <c r="I190" i="5"/>
  <c r="H232" i="5"/>
  <c r="H231" i="5"/>
  <c r="H193" i="5"/>
  <c r="H192" i="5" s="1"/>
  <c r="N229" i="5"/>
  <c r="N228" i="5"/>
  <c r="N225" i="5"/>
  <c r="N221" i="5"/>
  <c r="N235" i="5"/>
  <c r="N234" i="5"/>
  <c r="N232" i="5"/>
  <c r="N231" i="5"/>
  <c r="N203" i="5"/>
  <c r="N191" i="5"/>
  <c r="N190" i="5"/>
  <c r="N215" i="5"/>
  <c r="N214" i="5"/>
  <c r="N199" i="5"/>
  <c r="N195" i="5"/>
  <c r="P208" i="5" l="1"/>
  <c r="N196" i="5"/>
  <c r="N193" i="5"/>
  <c r="N192" i="5" s="1"/>
  <c r="N220" i="5"/>
  <c r="H198" i="5"/>
  <c r="H18" i="5" s="1"/>
  <c r="H222" i="5"/>
  <c r="P204" i="5"/>
  <c r="O233" i="5"/>
  <c r="K233" i="5"/>
  <c r="H221" i="5"/>
  <c r="H229" i="5"/>
  <c r="M190" i="5"/>
  <c r="P235" i="5"/>
  <c r="N207" i="5"/>
  <c r="N204" i="5"/>
  <c r="N222" i="5"/>
  <c r="H209" i="5"/>
  <c r="M211" i="5"/>
  <c r="P224" i="5"/>
  <c r="O202" i="5"/>
  <c r="O21" i="5" s="1"/>
  <c r="H191" i="5"/>
  <c r="H199" i="5"/>
  <c r="N208" i="5"/>
  <c r="N206" i="5" s="1"/>
  <c r="N212" i="5"/>
  <c r="N224" i="5"/>
  <c r="H217" i="5"/>
  <c r="M212" i="5"/>
  <c r="O203" i="5"/>
  <c r="P191" i="5"/>
  <c r="P209" i="5"/>
  <c r="P205" i="5"/>
  <c r="P217" i="5"/>
  <c r="P225" i="5"/>
  <c r="H188" i="5"/>
  <c r="H187" i="5" s="1"/>
  <c r="H207" i="5"/>
  <c r="H202" i="5"/>
  <c r="H233" i="5"/>
  <c r="H223" i="5"/>
  <c r="P195" i="5"/>
  <c r="P214" i="5"/>
  <c r="P213" i="5" s="1"/>
  <c r="P211" i="5"/>
  <c r="P218" i="5"/>
  <c r="P226" i="5"/>
  <c r="E207" i="5"/>
  <c r="N188" i="5"/>
  <c r="N187" i="5" s="1"/>
  <c r="N209" i="5"/>
  <c r="N202" i="5"/>
  <c r="N201" i="5" s="1"/>
  <c r="N20" i="5" s="1"/>
  <c r="N233" i="5"/>
  <c r="N230" i="5" s="1"/>
  <c r="N223" i="5"/>
  <c r="H190" i="5"/>
  <c r="H189" i="5" s="1"/>
  <c r="H208" i="5"/>
  <c r="H203" i="5"/>
  <c r="H234" i="5"/>
  <c r="H224" i="5"/>
  <c r="M209" i="5"/>
  <c r="P196" i="5"/>
  <c r="P194" i="5" s="1"/>
  <c r="P16" i="5" s="1"/>
  <c r="P215" i="5"/>
  <c r="P212" i="5"/>
  <c r="P219" i="5"/>
  <c r="P227" i="5"/>
  <c r="E216" i="5"/>
  <c r="H235" i="5"/>
  <c r="P197" i="5"/>
  <c r="P216" i="5"/>
  <c r="P220" i="5"/>
  <c r="P228" i="5"/>
  <c r="H205" i="5"/>
  <c r="H226" i="5"/>
  <c r="P193" i="5"/>
  <c r="P192" i="5" s="1"/>
  <c r="P229" i="5"/>
  <c r="N197" i="5"/>
  <c r="N216" i="5"/>
  <c r="N205" i="5"/>
  <c r="N218" i="5"/>
  <c r="N226" i="5"/>
  <c r="H196" i="5"/>
  <c r="H215" i="5"/>
  <c r="H211" i="5"/>
  <c r="H219" i="5"/>
  <c r="H227" i="5"/>
  <c r="M228" i="5"/>
  <c r="J228" i="5" s="1"/>
  <c r="P199" i="5"/>
  <c r="P202" i="5"/>
  <c r="P233" i="5"/>
  <c r="P222" i="5"/>
  <c r="G228" i="5"/>
  <c r="F228" i="5" s="1"/>
  <c r="E221" i="5"/>
  <c r="H204" i="5"/>
  <c r="H225" i="5"/>
  <c r="P231" i="5"/>
  <c r="H195" i="5"/>
  <c r="H214" i="5"/>
  <c r="H218" i="5"/>
  <c r="P198" i="5"/>
  <c r="P18" i="5" s="1"/>
  <c r="P232" i="5"/>
  <c r="P221" i="5"/>
  <c r="G212" i="5"/>
  <c r="E220" i="5"/>
  <c r="N198" i="5"/>
  <c r="N18" i="5" s="1"/>
  <c r="N217" i="5"/>
  <c r="N213" i="5" s="1"/>
  <c r="N211" i="5"/>
  <c r="N219" i="5"/>
  <c r="H197" i="5"/>
  <c r="H216" i="5"/>
  <c r="H212" i="5"/>
  <c r="H220" i="5"/>
  <c r="F220" i="5" s="1"/>
  <c r="P188" i="5"/>
  <c r="P187" i="5" s="1"/>
  <c r="P207" i="5"/>
  <c r="P203" i="5"/>
  <c r="P234" i="5"/>
  <c r="G229" i="5"/>
  <c r="F229" i="5" s="1"/>
  <c r="E204" i="5"/>
  <c r="E233" i="5"/>
  <c r="M191" i="5"/>
  <c r="M189" i="5" s="1"/>
  <c r="M229" i="5"/>
  <c r="G203" i="5"/>
  <c r="F203" i="5" s="1"/>
  <c r="O199" i="5"/>
  <c r="E211" i="5"/>
  <c r="E224" i="5"/>
  <c r="M203" i="5"/>
  <c r="J203" i="5" s="1"/>
  <c r="M234" i="5"/>
  <c r="G204" i="5"/>
  <c r="O215" i="5"/>
  <c r="E212" i="5"/>
  <c r="E225" i="5"/>
  <c r="O234" i="5"/>
  <c r="M214" i="5"/>
  <c r="J214" i="5" s="1"/>
  <c r="G188" i="5"/>
  <c r="F188" i="5" s="1"/>
  <c r="F187" i="5" s="1"/>
  <c r="O207" i="5"/>
  <c r="E202" i="5"/>
  <c r="E21" i="5" s="1"/>
  <c r="E208" i="5"/>
  <c r="E226" i="5"/>
  <c r="M215" i="5"/>
  <c r="G225" i="5"/>
  <c r="F225" i="5" s="1"/>
  <c r="O214" i="5"/>
  <c r="E203" i="5"/>
  <c r="E209" i="5"/>
  <c r="E227" i="5"/>
  <c r="M223" i="5"/>
  <c r="G195" i="5"/>
  <c r="F195" i="5" s="1"/>
  <c r="F17" i="5" s="1"/>
  <c r="O204" i="5"/>
  <c r="O219" i="5"/>
  <c r="O235" i="5"/>
  <c r="M195" i="5"/>
  <c r="J195" i="5" s="1"/>
  <c r="J17" i="5" s="1"/>
  <c r="M224" i="5"/>
  <c r="J224" i="5" s="1"/>
  <c r="G217" i="5"/>
  <c r="O205" i="5"/>
  <c r="O222" i="5"/>
  <c r="E190" i="5"/>
  <c r="E197" i="5"/>
  <c r="E218" i="5"/>
  <c r="E228" i="5"/>
  <c r="M196" i="5"/>
  <c r="M19" i="5" s="1"/>
  <c r="M225" i="5"/>
  <c r="G220" i="5"/>
  <c r="O211" i="5"/>
  <c r="O223" i="5"/>
  <c r="E191" i="5"/>
  <c r="E198" i="5"/>
  <c r="E18" i="5" s="1"/>
  <c r="E219" i="5"/>
  <c r="E229" i="5"/>
  <c r="M188" i="5"/>
  <c r="M187" i="5" s="1"/>
  <c r="M197" i="5"/>
  <c r="J197" i="5" s="1"/>
  <c r="M220" i="5"/>
  <c r="J220" i="5" s="1"/>
  <c r="M231" i="5"/>
  <c r="J231" i="5" s="1"/>
  <c r="G209" i="5"/>
  <c r="F209" i="5" s="1"/>
  <c r="G231" i="5"/>
  <c r="F231" i="5" s="1"/>
  <c r="O195" i="5"/>
  <c r="O17" i="5" s="1"/>
  <c r="O216" i="5"/>
  <c r="O226" i="5"/>
  <c r="M193" i="5"/>
  <c r="M192" i="5" s="1"/>
  <c r="J192" i="5" s="1"/>
  <c r="M198" i="5"/>
  <c r="M18" i="5" s="1"/>
  <c r="M221" i="5"/>
  <c r="J221" i="5" s="1"/>
  <c r="M232" i="5"/>
  <c r="J232" i="5" s="1"/>
  <c r="G214" i="5"/>
  <c r="G233" i="5"/>
  <c r="F233" i="5" s="1"/>
  <c r="O196" i="5"/>
  <c r="O217" i="5"/>
  <c r="O227" i="5"/>
  <c r="E188" i="5"/>
  <c r="E187" i="5" s="1"/>
  <c r="E195" i="5"/>
  <c r="E17" i="5" s="1"/>
  <c r="E214" i="5"/>
  <c r="E222" i="5"/>
  <c r="E231" i="5"/>
  <c r="M202" i="5"/>
  <c r="J202" i="5" s="1"/>
  <c r="J21" i="5" s="1"/>
  <c r="M208" i="5"/>
  <c r="J208" i="5" s="1"/>
  <c r="M222" i="5"/>
  <c r="M233" i="5"/>
  <c r="J233" i="5" s="1"/>
  <c r="G190" i="5"/>
  <c r="G216" i="5"/>
  <c r="O193" i="5"/>
  <c r="O192" i="5" s="1"/>
  <c r="O197" i="5"/>
  <c r="O218" i="5"/>
  <c r="O231" i="5"/>
  <c r="E193" i="5"/>
  <c r="E192" i="5" s="1"/>
  <c r="E196" i="5"/>
  <c r="E19" i="5" s="1"/>
  <c r="E215" i="5"/>
  <c r="E223" i="5"/>
  <c r="G197" i="5"/>
  <c r="F197" i="5" s="1"/>
  <c r="G221" i="5"/>
  <c r="F221" i="5" s="1"/>
  <c r="G234" i="5"/>
  <c r="F234" i="5" s="1"/>
  <c r="M204" i="5"/>
  <c r="J204" i="5" s="1"/>
  <c r="M199" i="5"/>
  <c r="J199" i="5" s="1"/>
  <c r="M218" i="5"/>
  <c r="M226" i="5"/>
  <c r="J226" i="5" s="1"/>
  <c r="M235" i="5"/>
  <c r="J235" i="5" s="1"/>
  <c r="G191" i="5"/>
  <c r="G198" i="5"/>
  <c r="G18" i="5" s="1"/>
  <c r="G222" i="5"/>
  <c r="F222" i="5" s="1"/>
  <c r="O190" i="5"/>
  <c r="O212" i="5"/>
  <c r="O208" i="5"/>
  <c r="O220" i="5"/>
  <c r="O228" i="5"/>
  <c r="M205" i="5"/>
  <c r="J205" i="5" s="1"/>
  <c r="M207" i="5"/>
  <c r="M206" i="5" s="1"/>
  <c r="M219" i="5"/>
  <c r="J219" i="5" s="1"/>
  <c r="G193" i="5"/>
  <c r="G192" i="5" s="1"/>
  <c r="F192" i="5" s="1"/>
  <c r="G208" i="5"/>
  <c r="G224" i="5"/>
  <c r="F224" i="5" s="1"/>
  <c r="O191" i="5"/>
  <c r="O188" i="5"/>
  <c r="O187" i="5" s="1"/>
  <c r="O209" i="5"/>
  <c r="O221" i="5"/>
  <c r="G205" i="5"/>
  <c r="F205" i="5" s="1"/>
  <c r="G199" i="5"/>
  <c r="F199" i="5" s="1"/>
  <c r="G218" i="5"/>
  <c r="F218" i="5" s="1"/>
  <c r="G226" i="5"/>
  <c r="F226" i="5" s="1"/>
  <c r="G235" i="5"/>
  <c r="G211" i="5"/>
  <c r="F211" i="5" s="1"/>
  <c r="G207" i="5"/>
  <c r="F207" i="5" s="1"/>
  <c r="G219" i="5"/>
  <c r="G227" i="5"/>
  <c r="F237" i="5"/>
  <c r="G202" i="5"/>
  <c r="G196" i="5"/>
  <c r="G215" i="5"/>
  <c r="F215" i="5" s="1"/>
  <c r="G223" i="5"/>
  <c r="F223" i="5" s="1"/>
  <c r="K230" i="5"/>
  <c r="K210" i="5"/>
  <c r="K206" i="5"/>
  <c r="K194" i="5"/>
  <c r="K16" i="5" s="1"/>
  <c r="K22" i="5"/>
  <c r="K201" i="5"/>
  <c r="K20" i="5" s="1"/>
  <c r="K189" i="5"/>
  <c r="K213" i="5"/>
  <c r="K19" i="5"/>
  <c r="K17" i="5"/>
  <c r="J234" i="5"/>
  <c r="D237" i="5"/>
  <c r="J227" i="5"/>
  <c r="J215" i="5"/>
  <c r="J223" i="5"/>
  <c r="N189" i="5"/>
  <c r="P189" i="5"/>
  <c r="J209" i="5"/>
  <c r="J212" i="5"/>
  <c r="L230" i="5"/>
  <c r="J217" i="5"/>
  <c r="J225" i="5"/>
  <c r="J216" i="5"/>
  <c r="L210" i="5"/>
  <c r="L206" i="5"/>
  <c r="I206" i="5"/>
  <c r="M210" i="5"/>
  <c r="J229" i="5"/>
  <c r="N19" i="5"/>
  <c r="N21" i="5"/>
  <c r="H17" i="5"/>
  <c r="I189" i="5"/>
  <c r="I201" i="5"/>
  <c r="I20" i="5" s="1"/>
  <c r="I21" i="5"/>
  <c r="I210" i="5"/>
  <c r="I194" i="5"/>
  <c r="I16" i="5" s="1"/>
  <c r="I17" i="5"/>
  <c r="I213" i="5"/>
  <c r="I230" i="5"/>
  <c r="P17" i="5"/>
  <c r="P201" i="5"/>
  <c r="P20" i="5" s="1"/>
  <c r="P21" i="5"/>
  <c r="L22" i="5"/>
  <c r="L19" i="5"/>
  <c r="L201" i="5"/>
  <c r="L20" i="5" s="1"/>
  <c r="L21" i="5"/>
  <c r="F191" i="5"/>
  <c r="F217" i="5"/>
  <c r="F232" i="5"/>
  <c r="O19" i="5"/>
  <c r="N17" i="5"/>
  <c r="H19" i="5"/>
  <c r="I19" i="5"/>
  <c r="I22" i="5"/>
  <c r="J211" i="5"/>
  <c r="L189" i="5"/>
  <c r="L194" i="5"/>
  <c r="L16" i="5" s="1"/>
  <c r="L17" i="5"/>
  <c r="L213" i="5"/>
  <c r="F212" i="5"/>
  <c r="J190" i="5"/>
  <c r="N194" i="5" l="1"/>
  <c r="N16" i="5" s="1"/>
  <c r="F216" i="5"/>
  <c r="H210" i="5"/>
  <c r="H230" i="5"/>
  <c r="F219" i="5"/>
  <c r="O201" i="5"/>
  <c r="O20" i="5" s="1"/>
  <c r="N210" i="5"/>
  <c r="H213" i="5"/>
  <c r="H22" i="5"/>
  <c r="J207" i="5"/>
  <c r="H206" i="5"/>
  <c r="F204" i="5"/>
  <c r="F193" i="5"/>
  <c r="F198" i="5"/>
  <c r="F18" i="5" s="1"/>
  <c r="F227" i="5"/>
  <c r="P230" i="5"/>
  <c r="N22" i="5"/>
  <c r="P210" i="5"/>
  <c r="P186" i="5" s="1"/>
  <c r="P23" i="5" s="1"/>
  <c r="D52" i="4" s="1"/>
  <c r="D85" i="4" s="1"/>
  <c r="E210" i="5"/>
  <c r="P206" i="5"/>
  <c r="E201" i="5"/>
  <c r="E20" i="5" s="1"/>
  <c r="H201" i="5"/>
  <c r="H20" i="5" s="1"/>
  <c r="M17" i="5"/>
  <c r="P19" i="5"/>
  <c r="P22" i="5"/>
  <c r="J191" i="5"/>
  <c r="O189" i="5"/>
  <c r="F190" i="5"/>
  <c r="E189" i="5"/>
  <c r="G187" i="5"/>
  <c r="M194" i="5"/>
  <c r="M16" i="5" s="1"/>
  <c r="F202" i="5"/>
  <c r="F21" i="5" s="1"/>
  <c r="O210" i="5"/>
  <c r="E206" i="5"/>
  <c r="G17" i="5"/>
  <c r="H194" i="5"/>
  <c r="H16" i="5" s="1"/>
  <c r="E230" i="5"/>
  <c r="H21" i="5"/>
  <c r="F214" i="5"/>
  <c r="J188" i="5"/>
  <c r="J187" i="5" s="1"/>
  <c r="J198" i="5"/>
  <c r="J18" i="5" s="1"/>
  <c r="O194" i="5"/>
  <c r="O16" i="5" s="1"/>
  <c r="O230" i="5"/>
  <c r="O213" i="5"/>
  <c r="M21" i="5"/>
  <c r="J196" i="5"/>
  <c r="J19" i="5" s="1"/>
  <c r="G230" i="5"/>
  <c r="F230" i="5" s="1"/>
  <c r="O22" i="5"/>
  <c r="M201" i="5"/>
  <c r="M20" i="5" s="1"/>
  <c r="G189" i="5"/>
  <c r="M22" i="5"/>
  <c r="J193" i="5"/>
  <c r="E22" i="5"/>
  <c r="O206" i="5"/>
  <c r="E194" i="5"/>
  <c r="E16" i="5" s="1"/>
  <c r="J222" i="5"/>
  <c r="J22" i="5" s="1"/>
  <c r="M230" i="5"/>
  <c r="G210" i="5"/>
  <c r="F210" i="5" s="1"/>
  <c r="F235" i="5"/>
  <c r="G22" i="5"/>
  <c r="G213" i="5"/>
  <c r="M213" i="5"/>
  <c r="J213" i="5" s="1"/>
  <c r="E213" i="5"/>
  <c r="G206" i="5"/>
  <c r="F206" i="5" s="1"/>
  <c r="J218" i="5"/>
  <c r="F208" i="5"/>
  <c r="G201" i="5"/>
  <c r="G20" i="5" s="1"/>
  <c r="G21" i="5"/>
  <c r="G194" i="5"/>
  <c r="G16" i="5" s="1"/>
  <c r="F196" i="5"/>
  <c r="F19" i="5" s="1"/>
  <c r="G19" i="5"/>
  <c r="K186" i="5"/>
  <c r="K27" i="5" s="1"/>
  <c r="J230" i="5"/>
  <c r="J210" i="5"/>
  <c r="J206" i="5"/>
  <c r="F189" i="5"/>
  <c r="I186" i="5"/>
  <c r="I27" i="5" s="1"/>
  <c r="I24" i="5" s="1"/>
  <c r="L186" i="5"/>
  <c r="L27" i="5" s="1"/>
  <c r="L24" i="5" s="1"/>
  <c r="J189" i="5"/>
  <c r="F201" i="5"/>
  <c r="F20" i="5" s="1"/>
  <c r="N186" i="5"/>
  <c r="F213" i="5" l="1"/>
  <c r="H186" i="5"/>
  <c r="H27" i="5" s="1"/>
  <c r="H24" i="5" s="1"/>
  <c r="E186" i="5"/>
  <c r="E27" i="5" s="1"/>
  <c r="E38" i="9"/>
  <c r="E37" i="9" s="1"/>
  <c r="J194" i="5"/>
  <c r="J16" i="5" s="1"/>
  <c r="O186" i="5"/>
  <c r="O23" i="5" s="1"/>
  <c r="D51" i="4" s="1"/>
  <c r="D50" i="4" s="1"/>
  <c r="D83" i="4" s="1"/>
  <c r="J201" i="5"/>
  <c r="J20" i="5" s="1"/>
  <c r="M186" i="5"/>
  <c r="M27" i="5" s="1"/>
  <c r="M24" i="5" s="1"/>
  <c r="G186" i="5"/>
  <c r="G27" i="5" s="1"/>
  <c r="F22" i="5"/>
  <c r="F194" i="5"/>
  <c r="F16" i="5" s="1"/>
  <c r="K23" i="5"/>
  <c r="D45" i="4" s="1"/>
  <c r="P27" i="5"/>
  <c r="P24" i="5" s="1"/>
  <c r="I23" i="5"/>
  <c r="L23" i="5"/>
  <c r="D46" i="4" s="1"/>
  <c r="N23" i="5"/>
  <c r="D48" i="4" s="1"/>
  <c r="D81" i="4" s="1"/>
  <c r="D95" i="4" s="1"/>
  <c r="N27" i="5"/>
  <c r="N24" i="5" s="1"/>
  <c r="K24" i="5"/>
  <c r="H23" i="5" l="1"/>
  <c r="E23" i="5"/>
  <c r="D49" i="4" s="1"/>
  <c r="D82" i="4" s="1"/>
  <c r="D96" i="4" s="1"/>
  <c r="D84" i="4"/>
  <c r="E39" i="9"/>
  <c r="O27" i="5"/>
  <c r="O24" i="5" s="1"/>
  <c r="J186" i="5"/>
  <c r="J23" i="5" s="1"/>
  <c r="D44" i="4" s="1"/>
  <c r="D19" i="4" s="1"/>
  <c r="D79" i="4" s="1"/>
  <c r="D93" i="4" s="1"/>
  <c r="M23" i="5"/>
  <c r="D47" i="4" s="1"/>
  <c r="G23" i="5"/>
  <c r="F186" i="5"/>
  <c r="F23" i="5" s="1"/>
  <c r="D43" i="4" s="1"/>
  <c r="D76" i="4" s="1"/>
  <c r="D90" i="4" s="1"/>
  <c r="J27" i="5"/>
  <c r="J24" i="5" s="1"/>
  <c r="F27" i="5"/>
  <c r="F24" i="5" s="1"/>
  <c r="G24" i="5"/>
  <c r="E24" i="5"/>
  <c r="D16" i="4" l="1"/>
  <c r="D78" i="4" s="1"/>
  <c r="D92" i="4" s="1"/>
  <c r="D23" i="4"/>
  <c r="D80" i="4" s="1"/>
  <c r="D94" i="4" s="1"/>
  <c r="D42" i="4"/>
  <c r="D41" i="4" s="1"/>
  <c r="D24" i="5"/>
  <c r="D27" i="5"/>
  <c r="D15" i="4" l="1"/>
  <c r="D77" i="4" s="1"/>
  <c r="D91" i="4" s="1"/>
  <c r="D11" i="4" l="1"/>
  <c r="D75" i="4" s="1"/>
  <c r="D89" i="4" s="1"/>
</calcChain>
</file>

<file path=xl/sharedStrings.xml><?xml version="1.0" encoding="utf-8"?>
<sst xmlns="http://schemas.openxmlformats.org/spreadsheetml/2006/main" count="2531" uniqueCount="1247">
  <si>
    <t>Ūkio subjektas: UŽDAROJI AKCINĖ BENDROVĖ "SKUODO VANDENYS"</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</si>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</sst>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_);_(* \(#,##0\);_(* &quot;-&quot;_);_(@_)"/>
    <numFmt numFmtId="166" formatCode="0.00000"/>
    <numFmt numFmtId="167" formatCode="#,##0.00000"/>
    <numFmt numFmtId="168" formatCode="#,##0.000"/>
    <numFmt numFmtId="169" formatCode="#,##0.0000"/>
    <numFmt numFmtId="170" formatCode="#,##0.0"/>
    <numFmt numFmtId="171" formatCode="_-* #,##0\ _L_t_-;\-* #,##0\ _L_t_-;_-* &quot;-&quot;??\ _L_t_-;_-@_-"/>
    <numFmt numFmtId="172" formatCode="0.0"/>
    <numFmt numFmtId="173" formatCode="0.0%"/>
    <numFmt numFmtId="174" formatCode="_-* #,##0.00\ _L_t_-;\-* #,##0.00\ _L_t_-;_-* &quot;-&quot;??\ _L_t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64"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cellStyleXfs>
  <cellXfs count="1368">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5"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5"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6" fontId="19" fillId="2" borderId="17" xfId="1" applyNumberFormat="1" applyFont="1" applyFill="1" applyBorder="1" applyAlignment="1">
      <alignment horizontal="center" vertical="center"/>
    </xf>
    <xf numFmtId="0" fontId="7" fillId="2" borderId="18" xfId="1" applyFont="1" applyFill="1" applyBorder="1"/>
    <xf numFmtId="167"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7"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7"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7"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7"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7" fontId="19" fillId="2" borderId="23" xfId="1" applyNumberFormat="1" applyFont="1" applyFill="1" applyBorder="1" applyAlignment="1">
      <alignment horizontal="center" vertical="center"/>
    </xf>
    <xf numFmtId="167"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7"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7" fontId="6" fillId="0" borderId="0" xfId="0" applyNumberFormat="1" applyFont="1"/>
    <xf numFmtId="167"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7"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7" fontId="16" fillId="2" borderId="61" xfId="0" applyNumberFormat="1" applyFont="1" applyFill="1" applyBorder="1" applyAlignment="1">
      <alignment horizontal="center" vertical="center" wrapText="1"/>
    </xf>
    <xf numFmtId="167" fontId="16" fillId="2" borderId="62" xfId="0" applyNumberFormat="1" applyFont="1" applyFill="1" applyBorder="1" applyAlignment="1">
      <alignment horizontal="center" vertical="center" wrapText="1"/>
    </xf>
    <xf numFmtId="167" fontId="16" fillId="2" borderId="60" xfId="0" applyNumberFormat="1" applyFont="1" applyFill="1" applyBorder="1" applyAlignment="1">
      <alignment horizontal="center" vertical="center" wrapText="1"/>
    </xf>
    <xf numFmtId="167" fontId="16" fillId="2" borderId="63" xfId="0" applyNumberFormat="1" applyFont="1" applyFill="1" applyBorder="1" applyAlignment="1">
      <alignment horizontal="center" vertical="center" wrapText="1"/>
    </xf>
    <xf numFmtId="167" fontId="16" fillId="2" borderId="64" xfId="0" applyNumberFormat="1" applyFont="1" applyFill="1" applyBorder="1" applyAlignment="1">
      <alignment horizontal="center" vertical="center" wrapText="1"/>
    </xf>
    <xf numFmtId="167" fontId="16" fillId="2" borderId="43" xfId="0" applyNumberFormat="1" applyFont="1" applyFill="1" applyBorder="1" applyAlignment="1">
      <alignment horizontal="center" vertical="center" wrapText="1"/>
    </xf>
    <xf numFmtId="167"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7"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7" fontId="16" fillId="2" borderId="46" xfId="0" applyNumberFormat="1" applyFont="1" applyFill="1" applyBorder="1" applyAlignment="1">
      <alignment horizontal="center" vertical="center"/>
    </xf>
    <xf numFmtId="167" fontId="16" fillId="0" borderId="79" xfId="0" applyNumberFormat="1" applyFont="1" applyBorder="1" applyAlignment="1">
      <alignment horizontal="center" vertical="center" wrapText="1"/>
    </xf>
    <xf numFmtId="167"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7"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7" fontId="11" fillId="0" borderId="30" xfId="0" applyNumberFormat="1" applyFont="1" applyBorder="1" applyAlignment="1" applyProtection="1">
      <alignment horizontal="center" vertical="center" wrapText="1"/>
      <protection locked="0"/>
    </xf>
    <xf numFmtId="167" fontId="11" fillId="0" borderId="79" xfId="0" applyNumberFormat="1" applyFont="1" applyBorder="1" applyAlignment="1">
      <alignment horizontal="center" vertical="center" wrapText="1"/>
    </xf>
    <xf numFmtId="167" fontId="11" fillId="0" borderId="0" xfId="0" applyNumberFormat="1" applyFont="1" applyAlignment="1">
      <alignment horizontal="center" vertical="center" wrapText="1"/>
    </xf>
    <xf numFmtId="167" fontId="16" fillId="2" borderId="53" xfId="0" applyNumberFormat="1" applyFont="1" applyFill="1" applyBorder="1" applyAlignment="1">
      <alignment horizontal="center" vertical="center" wrapText="1"/>
    </xf>
    <xf numFmtId="167" fontId="16" fillId="3" borderId="53" xfId="0" applyNumberFormat="1" applyFont="1" applyFill="1" applyBorder="1" applyAlignment="1" applyProtection="1">
      <alignment horizontal="center" vertical="center" wrapText="1"/>
      <protection locked="0"/>
    </xf>
    <xf numFmtId="167" fontId="16" fillId="3" borderId="79" xfId="0" applyNumberFormat="1" applyFont="1" applyFill="1" applyBorder="1" applyAlignment="1">
      <alignment horizontal="center" vertical="center" wrapText="1"/>
    </xf>
    <xf numFmtId="167" fontId="11" fillId="3" borderId="79" xfId="0" applyNumberFormat="1" applyFont="1" applyFill="1" applyBorder="1" applyAlignment="1">
      <alignment horizontal="center" vertical="center" wrapText="1"/>
    </xf>
    <xf numFmtId="167" fontId="11" fillId="0" borderId="32" xfId="0" applyNumberFormat="1" applyFont="1" applyBorder="1" applyAlignment="1" applyProtection="1">
      <alignment horizontal="center" vertical="center" wrapText="1"/>
      <protection locked="0"/>
    </xf>
    <xf numFmtId="167" fontId="11" fillId="3" borderId="30" xfId="0" applyNumberFormat="1" applyFont="1" applyFill="1" applyBorder="1" applyAlignment="1" applyProtection="1">
      <alignment horizontal="center" vertical="center" wrapText="1"/>
      <protection locked="0"/>
    </xf>
    <xf numFmtId="167" fontId="11" fillId="3" borderId="32" xfId="0" applyNumberFormat="1" applyFont="1" applyFill="1" applyBorder="1" applyAlignment="1" applyProtection="1">
      <alignment horizontal="center" vertical="center" wrapText="1"/>
      <protection locked="0"/>
    </xf>
    <xf numFmtId="167"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7"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7"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8"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7" fontId="16" fillId="2" borderId="87" xfId="0" applyNumberFormat="1" applyFont="1" applyFill="1" applyBorder="1" applyAlignment="1">
      <alignment horizontal="center" vertical="center"/>
    </xf>
    <xf numFmtId="168"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7" fontId="11" fillId="0" borderId="30" xfId="0" applyNumberFormat="1" applyFont="1" applyBorder="1" applyAlignment="1" applyProtection="1">
      <alignment horizontal="center" vertical="center"/>
      <protection locked="0"/>
    </xf>
    <xf numFmtId="168"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8" fontId="16" fillId="2" borderId="54" xfId="0" applyNumberFormat="1" applyFont="1" applyFill="1" applyBorder="1" applyAlignment="1">
      <alignment horizontal="center" vertical="center" wrapText="1"/>
    </xf>
    <xf numFmtId="168"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8" fontId="11" fillId="2" borderId="78" xfId="0" applyNumberFormat="1" applyFont="1" applyFill="1" applyBorder="1" applyAlignment="1">
      <alignment horizontal="center" vertical="center" wrapText="1"/>
    </xf>
    <xf numFmtId="167" fontId="16" fillId="2" borderId="29" xfId="0" applyNumberFormat="1" applyFont="1" applyFill="1" applyBorder="1" applyAlignment="1">
      <alignment horizontal="center" vertical="center" wrapText="1"/>
    </xf>
    <xf numFmtId="168" fontId="16" fillId="2" borderId="52" xfId="0" applyNumberFormat="1" applyFont="1" applyFill="1" applyBorder="1" applyAlignment="1">
      <alignment horizontal="center" vertical="center" wrapText="1"/>
    </xf>
    <xf numFmtId="167" fontId="16" fillId="0" borderId="53" xfId="0" applyNumberFormat="1" applyFont="1" applyBorder="1" applyAlignment="1" applyProtection="1">
      <alignment horizontal="center" vertical="center" wrapText="1"/>
      <protection locked="0"/>
    </xf>
    <xf numFmtId="169" fontId="16" fillId="2" borderId="54" xfId="0" applyNumberFormat="1" applyFont="1" applyFill="1" applyBorder="1" applyAlignment="1">
      <alignment horizontal="center" vertical="center" wrapText="1"/>
    </xf>
    <xf numFmtId="168"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7"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70"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8"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8"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8"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8"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8"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8"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8"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9"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70"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70"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70"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70" fontId="16" fillId="0" borderId="103" xfId="8" applyNumberFormat="1" applyFont="1" applyBorder="1" applyAlignment="1" applyProtection="1">
      <alignment horizontal="center" vertical="center"/>
      <protection locked="0"/>
    </xf>
    <xf numFmtId="171"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70"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70"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70"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70"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70"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70" fontId="16" fillId="2" borderId="109" xfId="7" applyNumberFormat="1" applyFont="1" applyFill="1" applyBorder="1" applyAlignment="1">
      <alignment horizontal="center" vertical="center"/>
    </xf>
    <xf numFmtId="170"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70" fontId="27" fillId="0" borderId="0" xfId="7" applyNumberFormat="1" applyFont="1" applyAlignment="1">
      <alignment horizontal="center" vertical="center"/>
    </xf>
    <xf numFmtId="0" fontId="28" fillId="0" borderId="0" xfId="7" applyFont="1" applyAlignment="1">
      <alignment horizontal="right" vertical="center"/>
    </xf>
    <xf numFmtId="170"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70"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2" fontId="16" fillId="2" borderId="28" xfId="7" applyNumberFormat="1" applyFont="1" applyFill="1" applyBorder="1" applyAlignment="1">
      <alignment horizontal="center" vertical="center"/>
    </xf>
    <xf numFmtId="172"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2" fontId="11" fillId="2" borderId="109" xfId="7" applyNumberFormat="1" applyFont="1" applyFill="1" applyBorder="1" applyAlignment="1">
      <alignment horizontal="center" vertical="center"/>
    </xf>
    <xf numFmtId="170"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70"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70" fontId="16" fillId="2" borderId="14" xfId="0" applyNumberFormat="1" applyFont="1" applyFill="1" applyBorder="1" applyAlignment="1">
      <alignment horizontal="center" vertical="center"/>
    </xf>
    <xf numFmtId="170"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70"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70"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70" fontId="11" fillId="0" borderId="127" xfId="7" applyNumberFormat="1" applyFont="1" applyBorder="1" applyAlignment="1" applyProtection="1">
      <alignment horizontal="center" vertical="center"/>
      <protection locked="0"/>
    </xf>
    <xf numFmtId="170"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70"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70"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70"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2"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70"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70"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70"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70"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70"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70"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70" fontId="35" fillId="0" borderId="0" xfId="9" applyNumberFormat="1" applyFont="1" applyAlignment="1">
      <alignment vertical="center"/>
    </xf>
    <xf numFmtId="170"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70"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70"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70"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70" fontId="11" fillId="0" borderId="27" xfId="9" applyNumberFormat="1" applyFont="1" applyBorder="1" applyAlignment="1" applyProtection="1">
      <alignment horizontal="center" vertical="center"/>
      <protection locked="0"/>
    </xf>
    <xf numFmtId="170"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70"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70"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70"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70" fontId="21" fillId="2" borderId="23" xfId="9" applyNumberFormat="1" applyFont="1" applyFill="1" applyBorder="1" applyAlignment="1">
      <alignment horizontal="center" vertical="center"/>
    </xf>
    <xf numFmtId="173"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70"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70"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70"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70"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70"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xfId="3" builtinId="3"/>
    <cellStyle name="Comma 2" xfId="8" xr:uid="{00000000-0005-0000-0000-000000000000}"/>
    <cellStyle name="Normal" xfId="0" builtinId="0"/>
    <cellStyle name="Normal 2" xfId="1" xr:uid="{00000000-0005-0000-0000-000003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8000000}"/>
    <cellStyle name="Normal 4" xfId="2" xr:uid="{00000000-0005-0000-0000-000009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sqref="A1:E1"/>
    </sheetView>
  </sheetViews>
  <sheetFormatPr defaultColWidth="9.140625"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7" t="s">
        <v>0</v>
      </c>
      <c r="B1" s="1278"/>
      <c r="C1" s="1278"/>
      <c r="D1" s="1278"/>
      <c r="E1" s="1279"/>
    </row>
    <row r="2" spans="1:5" s="1" customFormat="1" x14ac:dyDescent="0.25">
      <c r="A2" s="1277" t="s">
        <v>1</v>
      </c>
      <c r="B2" s="1278"/>
      <c r="C2" s="1278"/>
      <c r="D2" s="1278"/>
      <c r="E2" s="1279"/>
    </row>
    <row r="3" spans="1:5" s="1" customFormat="1" x14ac:dyDescent="0.25">
      <c r="A3" s="1280"/>
      <c r="B3" s="1281"/>
      <c r="C3" s="1281"/>
      <c r="D3" s="1281"/>
      <c r="E3" s="1282"/>
    </row>
    <row r="4" spans="1:5" s="1" customFormat="1" x14ac:dyDescent="0.25">
      <c r="A4" s="7"/>
      <c r="B4" s="7"/>
      <c r="C4" s="7"/>
      <c r="D4" s="7"/>
      <c r="E4" s="7"/>
    </row>
    <row r="5" spans="1:5" s="1" customFormat="1" x14ac:dyDescent="0.25">
      <c r="A5" s="1283" t="s">
        <v>2</v>
      </c>
      <c r="B5" s="1284"/>
      <c r="C5" s="1284"/>
      <c r="D5" s="1284"/>
      <c r="E5" s="1285"/>
    </row>
    <row r="6" spans="1:5" s="1" customFormat="1" x14ac:dyDescent="0.25">
      <c r="A6" s="7"/>
      <c r="B6" s="7"/>
      <c r="C6" s="7"/>
      <c r="D6" s="7"/>
      <c r="E6" s="7"/>
    </row>
    <row r="8" spans="1:5" s="1" customFormat="1" ht="29.25" customHeight="1" thickBot="1" x14ac:dyDescent="0.3">
      <c r="C8" s="1276" t="s">
        <v>3</v>
      </c>
      <c r="D8" s="1276"/>
      <c r="E8" s="1276"/>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NPl7xOjyp70hfelcfjq4VHdmAOaZVeq7ITgBWPIb1KAJYXxpBlkRz+SxKPKtrWyZS/Y+cmWLAogzu0AMZVZqFA==" saltValue="+Pf2R0Fq/L35OZMD62ClWZl+cHJjRpZC7XYF6mg6a2EgbyaowbboFNn9colNIGetAZASe+ZbEwK8Z6C5fKlo6Q=="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134"/>
  <sheetViews>
    <sheetView topLeftCell="A4" zoomScale="90" zoomScaleNormal="90" workbookViewId="0">
      <selection activeCell="E124" sqref="E124"/>
    </sheetView>
  </sheetViews>
  <sheetFormatPr defaultColWidth="9.140625"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7" t="s">
        <v>0</v>
      </c>
      <c r="B1" s="1278"/>
      <c r="C1" s="1278"/>
      <c r="D1" s="1278"/>
      <c r="E1" s="1278"/>
      <c r="F1" s="1278"/>
      <c r="G1" s="1278"/>
      <c r="H1" s="1278"/>
      <c r="I1" s="1278"/>
      <c r="J1" s="1278"/>
      <c r="K1" s="1278"/>
      <c r="L1" s="1278"/>
      <c r="M1" s="1278"/>
      <c r="N1" s="1278"/>
      <c r="O1" s="1278"/>
      <c r="P1" s="1279"/>
    </row>
    <row r="2" spans="1:17" s="1" customFormat="1" x14ac:dyDescent="0.25">
      <c r="A2" s="1277" t="s">
        <v>1</v>
      </c>
      <c r="B2" s="1278"/>
      <c r="C2" s="1278"/>
      <c r="D2" s="1278"/>
      <c r="E2" s="1278"/>
      <c r="F2" s="1278"/>
      <c r="G2" s="1278"/>
      <c r="H2" s="1278"/>
      <c r="I2" s="1278"/>
      <c r="J2" s="1278"/>
      <c r="K2" s="1278"/>
      <c r="L2" s="1278"/>
      <c r="M2" s="1278"/>
      <c r="N2" s="1278"/>
      <c r="O2" s="1278"/>
      <c r="P2" s="1279"/>
    </row>
    <row r="3" spans="1:17" s="1" customFormat="1" x14ac:dyDescent="0.25">
      <c r="A3" s="1280"/>
      <c r="B3" s="1281"/>
      <c r="C3" s="1281"/>
      <c r="D3" s="1281"/>
      <c r="E3" s="1281"/>
      <c r="F3" s="1281"/>
      <c r="G3" s="1281"/>
      <c r="H3" s="1281"/>
      <c r="I3" s="1281"/>
      <c r="J3" s="1281"/>
      <c r="K3" s="1281"/>
      <c r="L3" s="1281"/>
      <c r="M3" s="1281"/>
      <c r="N3" s="1281"/>
      <c r="O3" s="1281"/>
      <c r="P3" s="1282"/>
    </row>
    <row r="4" spans="1:17" s="1" customFormat="1" x14ac:dyDescent="0.25">
      <c r="A4" s="7"/>
      <c r="B4" s="7"/>
      <c r="C4" s="7"/>
      <c r="D4" s="7"/>
      <c r="E4" s="7"/>
      <c r="F4" s="7"/>
      <c r="G4" s="7"/>
      <c r="H4" s="7"/>
      <c r="I4" s="7"/>
      <c r="J4" s="7"/>
      <c r="K4" s="7"/>
      <c r="L4" s="7"/>
      <c r="M4" s="7"/>
      <c r="N4" s="7"/>
      <c r="O4" s="7"/>
      <c r="P4" s="7"/>
    </row>
    <row r="5" spans="1:17" s="1" customFormat="1" x14ac:dyDescent="0.25">
      <c r="A5" s="1283" t="s">
        <v>949</v>
      </c>
      <c r="B5" s="1284"/>
      <c r="C5" s="1284"/>
      <c r="D5" s="1284"/>
      <c r="E5" s="1284"/>
      <c r="F5" s="1284"/>
      <c r="G5" s="1284"/>
      <c r="H5" s="1284"/>
      <c r="I5" s="1284"/>
      <c r="J5" s="1284"/>
      <c r="K5" s="1284"/>
      <c r="L5" s="1284"/>
      <c r="M5" s="1284"/>
      <c r="N5" s="1284"/>
      <c r="O5" s="1284"/>
      <c r="P5" s="1285"/>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6" t="s">
        <v>950</v>
      </c>
      <c r="C8" s="1276"/>
      <c r="D8" s="1276"/>
      <c r="E8" s="1276"/>
      <c r="F8" s="1276"/>
      <c r="G8" s="1276"/>
      <c r="H8" s="1276"/>
      <c r="I8" s="1276"/>
      <c r="J8" s="1276"/>
      <c r="K8" s="1276"/>
      <c r="L8" s="1276"/>
      <c r="M8" s="1276"/>
      <c r="N8" s="1276"/>
      <c r="O8" s="1276"/>
      <c r="P8" s="1276"/>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3608.7631612377181</v>
      </c>
      <c r="E10" s="1042">
        <f t="shared" si="0"/>
        <v>2.5276725462860603</v>
      </c>
      <c r="F10" s="1042">
        <f t="shared" si="0"/>
        <v>1131.3833008119589</v>
      </c>
      <c r="G10" s="1043">
        <f t="shared" si="0"/>
        <v>30.65167298453968</v>
      </c>
      <c r="H10" s="1044">
        <f t="shared" si="0"/>
        <v>30.187063447177984</v>
      </c>
      <c r="I10" s="1045">
        <f t="shared" si="0"/>
        <v>1070.5445643802414</v>
      </c>
      <c r="J10" s="1046">
        <f t="shared" si="0"/>
        <v>2469.624487768117</v>
      </c>
      <c r="K10" s="1043">
        <f t="shared" si="0"/>
        <v>2418.1872082690388</v>
      </c>
      <c r="L10" s="1044">
        <f t="shared" si="0"/>
        <v>49.831986588003545</v>
      </c>
      <c r="M10" s="1045">
        <f t="shared" si="0"/>
        <v>1.605292911074292</v>
      </c>
      <c r="N10" s="1047">
        <f t="shared" si="0"/>
        <v>0</v>
      </c>
      <c r="O10" s="1048">
        <f t="shared" si="0"/>
        <v>0</v>
      </c>
      <c r="P10" s="1042">
        <f t="shared" si="0"/>
        <v>5.227700111356306</v>
      </c>
      <c r="Q10" s="29"/>
    </row>
    <row r="11" spans="1:17" s="1" customFormat="1" ht="15.75" thickTop="1" x14ac:dyDescent="0.25">
      <c r="B11" s="499" t="s">
        <v>96</v>
      </c>
      <c r="C11" s="500" t="s">
        <v>8</v>
      </c>
      <c r="D11" s="1049">
        <f t="shared" ref="D11:D55" si="1">E11+F11+J11+N11+O11+P11</f>
        <v>4.2946763521688842</v>
      </c>
      <c r="E11" s="1050">
        <f>SUM(E12:E14)</f>
        <v>2.4653174074879491E-3</v>
      </c>
      <c r="F11" s="1050">
        <f t="shared" ref="F11:F32" si="2">SUM(G11:I11)</f>
        <v>1.4751572462988578</v>
      </c>
      <c r="G11" s="147">
        <f>SUM(G12:G14)</f>
        <v>4.5810437874585261E-2</v>
      </c>
      <c r="H11" s="148">
        <f>SUM(H12:H14)</f>
        <v>0.15192612173858372</v>
      </c>
      <c r="I11" s="149">
        <f>SUM(I12:I14)</f>
        <v>1.2774206866856888</v>
      </c>
      <c r="J11" s="146">
        <f t="shared" ref="J11:J32" si="3">SUM(K11:M11)</f>
        <v>2.6694672185879234</v>
      </c>
      <c r="K11" s="147">
        <f t="shared" ref="K11:P11" si="4">SUM(K12:K14)</f>
        <v>2.338606534050462</v>
      </c>
      <c r="L11" s="148">
        <f t="shared" si="4"/>
        <v>0.32875321536537361</v>
      </c>
      <c r="M11" s="149">
        <f t="shared" si="4"/>
        <v>2.1074691720877302E-3</v>
      </c>
      <c r="N11" s="1051">
        <f t="shared" si="4"/>
        <v>0</v>
      </c>
      <c r="O11" s="145">
        <f t="shared" si="4"/>
        <v>0</v>
      </c>
      <c r="P11" s="1050">
        <f t="shared" si="4"/>
        <v>0.14758656987461452</v>
      </c>
    </row>
    <row r="12" spans="1:17" s="1" customFormat="1" x14ac:dyDescent="0.25">
      <c r="B12" s="509" t="s">
        <v>98</v>
      </c>
      <c r="C12" s="510" t="s">
        <v>10</v>
      </c>
      <c r="D12" s="1049">
        <f t="shared" si="1"/>
        <v>4.2946763521688842</v>
      </c>
      <c r="E12" s="1052">
        <f>SUM(E35,E58,E98)</f>
        <v>2.4653174074879491E-3</v>
      </c>
      <c r="F12" s="1050">
        <f t="shared" si="2"/>
        <v>1.4751572462988578</v>
      </c>
      <c r="G12" s="360">
        <f t="shared" ref="G12:I14" si="5">SUM(G35,G58,G98)</f>
        <v>4.5810437874585261E-2</v>
      </c>
      <c r="H12" s="361">
        <f t="shared" si="5"/>
        <v>0.15192612173858372</v>
      </c>
      <c r="I12" s="362">
        <f t="shared" si="5"/>
        <v>1.2774206866856888</v>
      </c>
      <c r="J12" s="146">
        <f t="shared" si="3"/>
        <v>2.6694672185879234</v>
      </c>
      <c r="K12" s="360">
        <f t="shared" ref="K12:P14" si="6">SUM(K35,K58,K98)</f>
        <v>2.338606534050462</v>
      </c>
      <c r="L12" s="361">
        <f t="shared" si="6"/>
        <v>0.32875321536537361</v>
      </c>
      <c r="M12" s="362">
        <f t="shared" si="6"/>
        <v>2.1074691720877302E-3</v>
      </c>
      <c r="N12" s="1053">
        <f t="shared" si="6"/>
        <v>0</v>
      </c>
      <c r="O12" s="145">
        <f t="shared" si="6"/>
        <v>0</v>
      </c>
      <c r="P12" s="1050">
        <f t="shared" si="6"/>
        <v>0.14758656987461452</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3526.7330390120728</v>
      </c>
      <c r="E15" s="1050">
        <f>SUM(E16:E19)</f>
        <v>7.3005237392383673E-3</v>
      </c>
      <c r="F15" s="1050">
        <f t="shared" si="2"/>
        <v>1080.0064310467938</v>
      </c>
      <c r="G15" s="147">
        <f>SUM(G16:G19)</f>
        <v>12.106852769335955</v>
      </c>
      <c r="H15" s="148">
        <f>SUM(H16:H19)</f>
        <v>28.911924234476498</v>
      </c>
      <c r="I15" s="149">
        <f>SUM(I16:I19)</f>
        <v>1038.9876540429814</v>
      </c>
      <c r="J15" s="146">
        <f t="shared" si="3"/>
        <v>2446.2822605713518</v>
      </c>
      <c r="K15" s="147">
        <f t="shared" ref="K15:P15" si="7">SUM(K16:K19)</f>
        <v>2404.3544366111328</v>
      </c>
      <c r="L15" s="148">
        <f t="shared" si="7"/>
        <v>41.921583129454397</v>
      </c>
      <c r="M15" s="149">
        <f t="shared" si="7"/>
        <v>6.2408307643504564E-3</v>
      </c>
      <c r="N15" s="1051">
        <f t="shared" si="7"/>
        <v>0</v>
      </c>
      <c r="O15" s="145">
        <f t="shared" si="7"/>
        <v>0</v>
      </c>
      <c r="P15" s="1050">
        <f t="shared" si="7"/>
        <v>0.43704687018791205</v>
      </c>
    </row>
    <row r="16" spans="1:17" s="1" customFormat="1" x14ac:dyDescent="0.25">
      <c r="B16" s="509" t="s">
        <v>104</v>
      </c>
      <c r="C16" s="510" t="s">
        <v>17</v>
      </c>
      <c r="D16" s="1049">
        <f t="shared" si="1"/>
        <v>16.539258665485058</v>
      </c>
      <c r="E16" s="1052">
        <f>SUM(E39,E62,E102)</f>
        <v>5.2014808631511119E-3</v>
      </c>
      <c r="F16" s="1050">
        <f t="shared" si="2"/>
        <v>10.590460905031339</v>
      </c>
      <c r="G16" s="360">
        <f t="shared" ref="G16:I19" si="8">SUM(G39,G62,G102)</f>
        <v>0.54915572710771032</v>
      </c>
      <c r="H16" s="361">
        <f t="shared" si="8"/>
        <v>7.3461231150348594</v>
      </c>
      <c r="I16" s="362">
        <f t="shared" si="8"/>
        <v>2.6951820628887693</v>
      </c>
      <c r="J16" s="146">
        <f t="shared" si="3"/>
        <v>5.6322089034542246</v>
      </c>
      <c r="K16" s="360">
        <f t="shared" ref="K16:P19" si="9">SUM(K39,K62,K102)</f>
        <v>4.934138337058366</v>
      </c>
      <c r="L16" s="361">
        <f t="shared" si="9"/>
        <v>0.69362409612188902</v>
      </c>
      <c r="M16" s="362">
        <f t="shared" si="9"/>
        <v>4.4464702739697142E-3</v>
      </c>
      <c r="N16" s="1053">
        <f t="shared" si="9"/>
        <v>0</v>
      </c>
      <c r="O16" s="145">
        <f t="shared" si="9"/>
        <v>0</v>
      </c>
      <c r="P16" s="1050">
        <f t="shared" si="9"/>
        <v>0.31138737613634215</v>
      </c>
    </row>
    <row r="17" spans="2:16" s="1" customFormat="1" x14ac:dyDescent="0.25">
      <c r="B17" s="509" t="s">
        <v>110</v>
      </c>
      <c r="C17" s="510" t="s">
        <v>597</v>
      </c>
      <c r="D17" s="1049">
        <f t="shared" si="1"/>
        <v>5.0832875581818708</v>
      </c>
      <c r="E17" s="1052">
        <f>SUM(E40,E63,E103)</f>
        <v>8.9490968076294086E-4</v>
      </c>
      <c r="F17" s="1050">
        <f t="shared" si="2"/>
        <v>3.657789586051162</v>
      </c>
      <c r="G17" s="360">
        <f t="shared" si="8"/>
        <v>3.1389370066058735</v>
      </c>
      <c r="H17" s="361">
        <f t="shared" si="8"/>
        <v>5.5149149027088208E-2</v>
      </c>
      <c r="I17" s="362">
        <f t="shared" si="8"/>
        <v>0.46370343041820045</v>
      </c>
      <c r="J17" s="146">
        <f t="shared" si="3"/>
        <v>1.3710291698021959</v>
      </c>
      <c r="K17" s="360">
        <f t="shared" si="9"/>
        <v>1.250926813538817</v>
      </c>
      <c r="L17" s="361">
        <f t="shared" si="9"/>
        <v>0.11933734541395154</v>
      </c>
      <c r="M17" s="362">
        <f t="shared" si="9"/>
        <v>7.6501084942750468E-4</v>
      </c>
      <c r="N17" s="1053">
        <f t="shared" si="9"/>
        <v>0</v>
      </c>
      <c r="O17" s="145">
        <f t="shared" si="9"/>
        <v>0</v>
      </c>
      <c r="P17" s="1050">
        <f t="shared" si="9"/>
        <v>5.3573892647750004E-2</v>
      </c>
    </row>
    <row r="18" spans="2:16" s="1" customFormat="1" x14ac:dyDescent="0.25">
      <c r="B18" s="509" t="s">
        <v>117</v>
      </c>
      <c r="C18" s="510" t="s">
        <v>23</v>
      </c>
      <c r="D18" s="1049">
        <f t="shared" si="1"/>
        <v>3417.0130020562847</v>
      </c>
      <c r="E18" s="1052">
        <f>SUM(E41,E64,E104)</f>
        <v>0</v>
      </c>
      <c r="F18" s="1050">
        <f t="shared" si="2"/>
        <v>1019.9858744909567</v>
      </c>
      <c r="G18" s="360">
        <f t="shared" si="8"/>
        <v>0</v>
      </c>
      <c r="H18" s="361">
        <f t="shared" si="8"/>
        <v>0</v>
      </c>
      <c r="I18" s="362">
        <f t="shared" si="8"/>
        <v>1019.9858744909567</v>
      </c>
      <c r="J18" s="146">
        <f t="shared" si="3"/>
        <v>2397.0271275653281</v>
      </c>
      <c r="K18" s="360">
        <f t="shared" si="9"/>
        <v>2397.0271275653281</v>
      </c>
      <c r="L18" s="361">
        <f t="shared" si="9"/>
        <v>0</v>
      </c>
      <c r="M18" s="362">
        <f t="shared" si="9"/>
        <v>0</v>
      </c>
      <c r="N18" s="1053">
        <f t="shared" si="9"/>
        <v>0</v>
      </c>
      <c r="O18" s="145">
        <f t="shared" si="9"/>
        <v>0</v>
      </c>
      <c r="P18" s="1050">
        <f t="shared" si="9"/>
        <v>0</v>
      </c>
    </row>
    <row r="19" spans="2:16" s="1" customFormat="1" ht="38.25" x14ac:dyDescent="0.25">
      <c r="B19" s="509" t="s">
        <v>598</v>
      </c>
      <c r="C19" s="510" t="s">
        <v>599</v>
      </c>
      <c r="D19" s="1049">
        <f t="shared" si="1"/>
        <v>88.097490732120889</v>
      </c>
      <c r="E19" s="1052">
        <f>SUM(E42,E65,E105)</f>
        <v>1.2041331953243145E-3</v>
      </c>
      <c r="F19" s="1050">
        <f t="shared" si="2"/>
        <v>45.772306064754503</v>
      </c>
      <c r="G19" s="360">
        <f t="shared" si="8"/>
        <v>8.4187600356223715</v>
      </c>
      <c r="H19" s="361">
        <f t="shared" si="8"/>
        <v>21.51065197041455</v>
      </c>
      <c r="I19" s="362">
        <f t="shared" si="8"/>
        <v>15.842894058717583</v>
      </c>
      <c r="J19" s="146">
        <f t="shared" si="3"/>
        <v>42.251894932767257</v>
      </c>
      <c r="K19" s="360">
        <f t="shared" si="9"/>
        <v>1.1422438952077487</v>
      </c>
      <c r="L19" s="361">
        <f t="shared" si="9"/>
        <v>41.108621687918557</v>
      </c>
      <c r="M19" s="362">
        <f t="shared" si="9"/>
        <v>1.0293496409532372E-3</v>
      </c>
      <c r="N19" s="1053">
        <f t="shared" si="9"/>
        <v>0</v>
      </c>
      <c r="O19" s="145">
        <f t="shared" si="9"/>
        <v>0</v>
      </c>
      <c r="P19" s="1050">
        <f t="shared" si="9"/>
        <v>7.2085601403819852E-2</v>
      </c>
    </row>
    <row r="20" spans="2:16" s="1" customFormat="1" x14ac:dyDescent="0.25">
      <c r="B20" s="499" t="s">
        <v>124</v>
      </c>
      <c r="C20" s="524" t="s">
        <v>27</v>
      </c>
      <c r="D20" s="1049">
        <f t="shared" si="1"/>
        <v>42.005158473212873</v>
      </c>
      <c r="E20" s="1050">
        <f>SUM(E21:E22)</f>
        <v>0</v>
      </c>
      <c r="F20" s="1050">
        <f t="shared" si="2"/>
        <v>31.642239092791442</v>
      </c>
      <c r="G20" s="147">
        <f>SUM(G21:G22)</f>
        <v>7.1918782071509666</v>
      </c>
      <c r="H20" s="148">
        <f>SUM(H21:H22)</f>
        <v>0.7522717823920313</v>
      </c>
      <c r="I20" s="149">
        <f>SUM(I21:I22)</f>
        <v>23.698089103248442</v>
      </c>
      <c r="J20" s="146">
        <f t="shared" si="3"/>
        <v>7.180594656015522</v>
      </c>
      <c r="K20" s="147">
        <f t="shared" ref="K20:P20" si="10">SUM(K21:K22)</f>
        <v>1.8987102324521343</v>
      </c>
      <c r="L20" s="148">
        <f t="shared" si="10"/>
        <v>4.5042844235633881</v>
      </c>
      <c r="M20" s="149">
        <f t="shared" si="10"/>
        <v>0.77760000000000007</v>
      </c>
      <c r="N20" s="1051">
        <f t="shared" si="10"/>
        <v>0</v>
      </c>
      <c r="O20" s="145">
        <f t="shared" si="10"/>
        <v>0</v>
      </c>
      <c r="P20" s="1050">
        <f t="shared" si="10"/>
        <v>3.1823247244059103</v>
      </c>
    </row>
    <row r="21" spans="2:16" s="1" customFormat="1" ht="51.75" x14ac:dyDescent="0.25">
      <c r="B21" s="509" t="s">
        <v>126</v>
      </c>
      <c r="C21" s="525" t="s">
        <v>29</v>
      </c>
      <c r="D21" s="1049">
        <f t="shared" si="1"/>
        <v>39.747589220687622</v>
      </c>
      <c r="E21" s="1052">
        <f>SUM(E44,E67,E107)</f>
        <v>0</v>
      </c>
      <c r="F21" s="1050">
        <f t="shared" si="2"/>
        <v>31.642239092791442</v>
      </c>
      <c r="G21" s="360">
        <f>SUM(G44,G67,G107)</f>
        <v>7.1918782071509666</v>
      </c>
      <c r="H21" s="361">
        <f>SUM(H44,H67,H107)</f>
        <v>0.7522717823920313</v>
      </c>
      <c r="I21" s="362">
        <f>SUM(I44,I67,I107)</f>
        <v>23.698089103248442</v>
      </c>
      <c r="J21" s="146">
        <f t="shared" si="3"/>
        <v>4.9230254034902696</v>
      </c>
      <c r="K21" s="360">
        <f t="shared" ref="K21:P21" si="11">SUM(K44,K67,K107)</f>
        <v>0.41874097992688186</v>
      </c>
      <c r="L21" s="361">
        <f t="shared" si="11"/>
        <v>4.5042844235633881</v>
      </c>
      <c r="M21" s="362">
        <f t="shared" si="11"/>
        <v>0</v>
      </c>
      <c r="N21" s="1053">
        <f t="shared" si="11"/>
        <v>0</v>
      </c>
      <c r="O21" s="145">
        <f t="shared" si="11"/>
        <v>0</v>
      </c>
      <c r="P21" s="1050">
        <f t="shared" si="11"/>
        <v>3.1823247244059103</v>
      </c>
    </row>
    <row r="22" spans="2:16" s="1" customFormat="1" x14ac:dyDescent="0.25">
      <c r="B22" s="509" t="s">
        <v>128</v>
      </c>
      <c r="C22" s="525" t="s">
        <v>31</v>
      </c>
      <c r="D22" s="1049">
        <f t="shared" si="1"/>
        <v>2.2575692525252524</v>
      </c>
      <c r="E22" s="1052">
        <f>SUM(E45,E68)</f>
        <v>0</v>
      </c>
      <c r="F22" s="1050">
        <f t="shared" si="2"/>
        <v>0</v>
      </c>
      <c r="G22" s="360">
        <f>SUM(G45,G68)</f>
        <v>0</v>
      </c>
      <c r="H22" s="361">
        <f>SUM(H45,H68)</f>
        <v>0</v>
      </c>
      <c r="I22" s="362">
        <f>SUM(I45,I68)</f>
        <v>0</v>
      </c>
      <c r="J22" s="146">
        <f t="shared" si="3"/>
        <v>2.2575692525252524</v>
      </c>
      <c r="K22" s="360">
        <f t="shared" ref="K22:P22" si="12">SUM(K45,K68)</f>
        <v>1.4799692525252526</v>
      </c>
      <c r="L22" s="361">
        <f t="shared" si="12"/>
        <v>0</v>
      </c>
      <c r="M22" s="362">
        <f t="shared" si="12"/>
        <v>0.77760000000000007</v>
      </c>
      <c r="N22" s="1053">
        <f t="shared" si="12"/>
        <v>0</v>
      </c>
      <c r="O22" s="145">
        <f t="shared" si="12"/>
        <v>0</v>
      </c>
      <c r="P22" s="1050">
        <f t="shared" si="12"/>
        <v>0</v>
      </c>
    </row>
    <row r="23" spans="2:16" s="1" customFormat="1" x14ac:dyDescent="0.25">
      <c r="B23" s="499" t="s">
        <v>131</v>
      </c>
      <c r="C23" s="524" t="s">
        <v>33</v>
      </c>
      <c r="D23" s="1049">
        <f t="shared" si="1"/>
        <v>23.350488669752266</v>
      </c>
      <c r="E23" s="1050">
        <f>SUM(E24:E25)</f>
        <v>0.24827846115882629</v>
      </c>
      <c r="F23" s="1050">
        <f t="shared" si="2"/>
        <v>15.520873425050279</v>
      </c>
      <c r="G23" s="147">
        <f>SUM(G24:G25)</f>
        <v>11.225226234278043</v>
      </c>
      <c r="H23" s="148">
        <f>SUM(H24:H25)</f>
        <v>9.9309763221558198E-2</v>
      </c>
      <c r="I23" s="149">
        <f>SUM(I24:I25)</f>
        <v>4.1963374275506782</v>
      </c>
      <c r="J23" s="146">
        <f t="shared" si="3"/>
        <v>6.3844676163266296</v>
      </c>
      <c r="K23" s="147">
        <f t="shared" ref="K23:P23" si="13">SUM(K24:K25)</f>
        <v>3.0793091715453826</v>
      </c>
      <c r="L23" s="148">
        <f t="shared" si="13"/>
        <v>2.4895818170648036</v>
      </c>
      <c r="M23" s="149">
        <f t="shared" si="13"/>
        <v>0.81557662771644301</v>
      </c>
      <c r="N23" s="1051">
        <f t="shared" si="13"/>
        <v>0</v>
      </c>
      <c r="O23" s="145">
        <f t="shared" si="13"/>
        <v>0</v>
      </c>
      <c r="P23" s="1050">
        <f t="shared" si="13"/>
        <v>1.1968691672165346</v>
      </c>
    </row>
    <row r="24" spans="2:16" s="1" customFormat="1" x14ac:dyDescent="0.25">
      <c r="B24" s="509" t="s">
        <v>133</v>
      </c>
      <c r="C24" s="525" t="s">
        <v>600</v>
      </c>
      <c r="D24" s="1049">
        <f t="shared" si="1"/>
        <v>1.5034067758202432</v>
      </c>
      <c r="E24" s="1052">
        <f>SUM(E47,E70,E109)</f>
        <v>0.17307061904761906</v>
      </c>
      <c r="F24" s="1054">
        <f t="shared" si="2"/>
        <v>1.3303361567726242</v>
      </c>
      <c r="G24" s="1055">
        <f t="shared" ref="G24:I25" si="14">SUM(G47,G70,G109)</f>
        <v>0.29570029393370856</v>
      </c>
      <c r="H24" s="1056">
        <f t="shared" si="14"/>
        <v>0</v>
      </c>
      <c r="I24" s="1057">
        <f t="shared" si="14"/>
        <v>1.0346358628389156</v>
      </c>
      <c r="J24" s="142">
        <f t="shared" si="3"/>
        <v>0</v>
      </c>
      <c r="K24" s="1055">
        <f t="shared" ref="K24:P25" si="15">SUM(K47,K70,K109)</f>
        <v>0</v>
      </c>
      <c r="L24" s="1056">
        <f t="shared" si="15"/>
        <v>0</v>
      </c>
      <c r="M24" s="1057">
        <f t="shared" si="15"/>
        <v>0</v>
      </c>
      <c r="N24" s="1058">
        <f t="shared" si="15"/>
        <v>0</v>
      </c>
      <c r="O24" s="1059">
        <f t="shared" si="15"/>
        <v>0</v>
      </c>
      <c r="P24" s="1060">
        <f t="shared" si="15"/>
        <v>0</v>
      </c>
    </row>
    <row r="25" spans="2:16" s="1" customFormat="1" ht="26.25" x14ac:dyDescent="0.25">
      <c r="B25" s="509" t="s">
        <v>135</v>
      </c>
      <c r="C25" s="535" t="s">
        <v>601</v>
      </c>
      <c r="D25" s="1049">
        <f t="shared" si="1"/>
        <v>21.847081893932028</v>
      </c>
      <c r="E25" s="1052">
        <f>SUM(E48,E71,E110)</f>
        <v>7.5207842111207235E-2</v>
      </c>
      <c r="F25" s="1054">
        <f t="shared" si="2"/>
        <v>14.190537268277655</v>
      </c>
      <c r="G25" s="1055">
        <f t="shared" si="14"/>
        <v>10.929525940344334</v>
      </c>
      <c r="H25" s="1056">
        <f t="shared" si="14"/>
        <v>9.9309763221558198E-2</v>
      </c>
      <c r="I25" s="1057">
        <f t="shared" si="14"/>
        <v>3.1617015647117626</v>
      </c>
      <c r="J25" s="142">
        <f t="shared" si="3"/>
        <v>6.3844676163266296</v>
      </c>
      <c r="K25" s="1055">
        <f t="shared" si="15"/>
        <v>3.0793091715453826</v>
      </c>
      <c r="L25" s="1056">
        <f t="shared" si="15"/>
        <v>2.4895818170648036</v>
      </c>
      <c r="M25" s="1057">
        <f t="shared" si="15"/>
        <v>0.81557662771644301</v>
      </c>
      <c r="N25" s="1058">
        <f t="shared" si="15"/>
        <v>0</v>
      </c>
      <c r="O25" s="1059">
        <f t="shared" si="15"/>
        <v>0</v>
      </c>
      <c r="P25" s="1060">
        <f t="shared" si="15"/>
        <v>1.1968691672165346</v>
      </c>
    </row>
    <row r="26" spans="2:16" s="1" customFormat="1" x14ac:dyDescent="0.25">
      <c r="B26" s="499" t="s">
        <v>274</v>
      </c>
      <c r="C26" s="536" t="s">
        <v>39</v>
      </c>
      <c r="D26" s="1061">
        <f t="shared" si="1"/>
        <v>12.379798730511155</v>
      </c>
      <c r="E26" s="1062">
        <f>SUM(E27:E28)</f>
        <v>2.2696282439805078</v>
      </c>
      <c r="F26" s="1062">
        <f t="shared" si="2"/>
        <v>2.7386000010245914</v>
      </c>
      <c r="G26" s="1063">
        <f>SUM(G27:G28)</f>
        <v>8.1905335900126539E-2</v>
      </c>
      <c r="H26" s="1064">
        <f>SUM(H27:H28)</f>
        <v>0.27163154534931128</v>
      </c>
      <c r="I26" s="1065">
        <f>SUM(I27:I28)</f>
        <v>2.3850631197751535</v>
      </c>
      <c r="J26" s="1066">
        <f t="shared" si="3"/>
        <v>7.1076977058347204</v>
      </c>
      <c r="K26" s="1063">
        <f t="shared" ref="K26:P26" si="16">SUM(K27:K28)</f>
        <v>6.5161457198577271</v>
      </c>
      <c r="L26" s="1064">
        <f t="shared" si="16"/>
        <v>0.58778400255558227</v>
      </c>
      <c r="M26" s="1065">
        <f t="shared" si="16"/>
        <v>3.7679834214108089E-3</v>
      </c>
      <c r="N26" s="1067">
        <f t="shared" si="16"/>
        <v>0</v>
      </c>
      <c r="O26" s="1068">
        <f t="shared" si="16"/>
        <v>0</v>
      </c>
      <c r="P26" s="1062">
        <f t="shared" si="16"/>
        <v>0.2638727796713346</v>
      </c>
    </row>
    <row r="27" spans="2:16" s="1" customFormat="1" x14ac:dyDescent="0.25">
      <c r="B27" s="1069" t="s">
        <v>276</v>
      </c>
      <c r="C27" s="545" t="s">
        <v>41</v>
      </c>
      <c r="D27" s="1070">
        <f t="shared" si="1"/>
        <v>8.796693547332616</v>
      </c>
      <c r="E27" s="1052">
        <f>SUM(E50,E73,E112)</f>
        <v>2.2689697859610503</v>
      </c>
      <c r="F27" s="1071">
        <f t="shared" si="2"/>
        <v>2.2434635507058203</v>
      </c>
      <c r="G27" s="1072">
        <f t="shared" ref="G27:I28" si="17">SUM(G50,G73,G112)</f>
        <v>6.9669893071646172E-2</v>
      </c>
      <c r="H27" s="1073">
        <f t="shared" si="17"/>
        <v>0.23105381977126216</v>
      </c>
      <c r="I27" s="1074">
        <f t="shared" si="17"/>
        <v>1.9427398378629119</v>
      </c>
      <c r="J27" s="293">
        <f t="shared" si="3"/>
        <v>4.0598061120141411</v>
      </c>
      <c r="K27" s="1072">
        <f t="shared" ref="K27:P28" si="18">SUM(K50,K73,K112)</f>
        <v>3.5566232222010568</v>
      </c>
      <c r="L27" s="1073">
        <f t="shared" si="18"/>
        <v>0.49997778724949171</v>
      </c>
      <c r="M27" s="1074">
        <f t="shared" si="18"/>
        <v>3.2051025635928196E-3</v>
      </c>
      <c r="N27" s="1075">
        <f t="shared" si="18"/>
        <v>0</v>
      </c>
      <c r="O27" s="1076">
        <f t="shared" si="18"/>
        <v>0</v>
      </c>
      <c r="P27" s="1077">
        <f t="shared" si="18"/>
        <v>0.22445409865160604</v>
      </c>
    </row>
    <row r="28" spans="2:16" s="1" customFormat="1" ht="26.25" x14ac:dyDescent="0.25">
      <c r="B28" s="1069" t="s">
        <v>278</v>
      </c>
      <c r="C28" s="552" t="s">
        <v>43</v>
      </c>
      <c r="D28" s="1061">
        <f t="shared" si="1"/>
        <v>3.583105183178537</v>
      </c>
      <c r="E28" s="1052">
        <f>SUM(E51,E74,E113)</f>
        <v>6.5845801945741203E-4</v>
      </c>
      <c r="F28" s="1062">
        <f t="shared" si="2"/>
        <v>0.49513645031877124</v>
      </c>
      <c r="G28" s="409">
        <f t="shared" si="17"/>
        <v>1.2235442828480363E-2</v>
      </c>
      <c r="H28" s="410">
        <f t="shared" si="17"/>
        <v>4.0577725578049124E-2</v>
      </c>
      <c r="I28" s="411">
        <f t="shared" si="17"/>
        <v>0.44232328191224174</v>
      </c>
      <c r="J28" s="1066">
        <f t="shared" si="3"/>
        <v>3.0478915938205797</v>
      </c>
      <c r="K28" s="409">
        <f t="shared" si="18"/>
        <v>2.9595224976566707</v>
      </c>
      <c r="L28" s="410">
        <f t="shared" si="18"/>
        <v>8.7806215306090604E-2</v>
      </c>
      <c r="M28" s="411">
        <f t="shared" si="18"/>
        <v>5.6288085781798936E-4</v>
      </c>
      <c r="N28" s="1078">
        <f t="shared" si="18"/>
        <v>0</v>
      </c>
      <c r="O28" s="413">
        <f t="shared" si="18"/>
        <v>0</v>
      </c>
      <c r="P28" s="1079">
        <f t="shared" si="18"/>
        <v>3.9418681019728556E-2</v>
      </c>
    </row>
    <row r="29" spans="2:16" s="1" customFormat="1" x14ac:dyDescent="0.25">
      <c r="B29" s="1080" t="s">
        <v>282</v>
      </c>
      <c r="C29" s="556" t="s">
        <v>602</v>
      </c>
      <c r="D29" s="1061">
        <f t="shared" si="1"/>
        <v>0</v>
      </c>
      <c r="E29" s="1062">
        <f>SUM(E30:E32)</f>
        <v>0</v>
      </c>
      <c r="F29" s="1062">
        <f t="shared" si="2"/>
        <v>0</v>
      </c>
      <c r="G29" s="1063">
        <f>SUM(G30:G32)</f>
        <v>0</v>
      </c>
      <c r="H29" s="1064">
        <f>SUM(H30:H32)</f>
        <v>0</v>
      </c>
      <c r="I29" s="1065">
        <f>SUM(I30:I32)</f>
        <v>0</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603</v>
      </c>
      <c r="D30" s="1061">
        <f t="shared" si="1"/>
        <v>0</v>
      </c>
      <c r="E30" s="1079">
        <f>SUM(E53,E76,E115)</f>
        <v>0</v>
      </c>
      <c r="F30" s="1062">
        <f t="shared" si="2"/>
        <v>0</v>
      </c>
      <c r="G30" s="409">
        <f t="shared" ref="G30:I32" si="20">SUM(G53,G76,G115)</f>
        <v>0</v>
      </c>
      <c r="H30" s="410">
        <f t="shared" si="20"/>
        <v>0</v>
      </c>
      <c r="I30" s="411">
        <f t="shared" si="20"/>
        <v>0</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3573.7527068742252</v>
      </c>
      <c r="E33" s="1042">
        <f t="shared" ref="E33:P33" si="22">E34+E38+E43+E46+E49+E52</f>
        <v>1.8478750714285717</v>
      </c>
      <c r="F33" s="1042">
        <f t="shared" si="22"/>
        <v>1117.1980424682602</v>
      </c>
      <c r="G33" s="1043">
        <f t="shared" si="22"/>
        <v>26.984346378764997</v>
      </c>
      <c r="H33" s="1044">
        <f t="shared" si="22"/>
        <v>29.05109363100236</v>
      </c>
      <c r="I33" s="1045">
        <f t="shared" si="22"/>
        <v>1061.1626024584925</v>
      </c>
      <c r="J33" s="1046">
        <f t="shared" si="22"/>
        <v>2450.8018348522746</v>
      </c>
      <c r="K33" s="1043">
        <f t="shared" si="22"/>
        <v>2402.7523409144719</v>
      </c>
      <c r="L33" s="1044">
        <f t="shared" si="22"/>
        <v>46.695924529611233</v>
      </c>
      <c r="M33" s="1045">
        <f t="shared" si="22"/>
        <v>1.3535694081915299</v>
      </c>
      <c r="N33" s="1047">
        <f t="shared" si="22"/>
        <v>0</v>
      </c>
      <c r="O33" s="1048">
        <f t="shared" si="22"/>
        <v>0</v>
      </c>
      <c r="P33" s="1042">
        <f t="shared" si="22"/>
        <v>3.904954482261763</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3513.4134124338707</v>
      </c>
      <c r="E38" s="1050">
        <f>SUM(E39:E42)</f>
        <v>0</v>
      </c>
      <c r="F38" s="1050">
        <f t="shared" si="23"/>
        <v>1075.3227822363124</v>
      </c>
      <c r="G38" s="147">
        <f>SUM(G39:G42)</f>
        <v>11.912435764107908</v>
      </c>
      <c r="H38" s="148">
        <f>SUM(H39:H42)</f>
        <v>28.312011778879025</v>
      </c>
      <c r="I38" s="149">
        <f>SUM(I39:I42)</f>
        <v>1035.0983346933253</v>
      </c>
      <c r="J38" s="146">
        <f t="shared" si="24"/>
        <v>2438.0906301975583</v>
      </c>
      <c r="K38" s="147">
        <f t="shared" ref="K38:P38" si="26">SUM(K39:K42)</f>
        <v>2397.4291407175019</v>
      </c>
      <c r="L38" s="148">
        <f t="shared" si="26"/>
        <v>40.661489480056396</v>
      </c>
      <c r="M38" s="149">
        <f t="shared" si="26"/>
        <v>0</v>
      </c>
      <c r="N38" s="1051">
        <f t="shared" si="26"/>
        <v>0</v>
      </c>
      <c r="O38" s="145">
        <f t="shared" si="26"/>
        <v>0</v>
      </c>
      <c r="P38" s="1050">
        <f t="shared" si="26"/>
        <v>0</v>
      </c>
    </row>
    <row r="39" spans="2:16" s="1" customFormat="1" x14ac:dyDescent="0.25">
      <c r="B39" s="509" t="s">
        <v>143</v>
      </c>
      <c r="C39" s="510" t="s">
        <v>17</v>
      </c>
      <c r="D39" s="1049">
        <f t="shared" si="1"/>
        <v>7.4780818809523844</v>
      </c>
      <c r="E39" s="1093">
        <v>0</v>
      </c>
      <c r="F39" s="1050">
        <f t="shared" si="23"/>
        <v>7.4780818809523844</v>
      </c>
      <c r="G39" s="309">
        <v>0.45250199999999996</v>
      </c>
      <c r="H39" s="310">
        <v>7.0255798809523844</v>
      </c>
      <c r="I39" s="311">
        <v>0</v>
      </c>
      <c r="J39" s="146">
        <f t="shared" si="24"/>
        <v>0</v>
      </c>
      <c r="K39" s="309">
        <v>0</v>
      </c>
      <c r="L39" s="310">
        <v>0</v>
      </c>
      <c r="M39" s="311">
        <v>0</v>
      </c>
      <c r="N39" s="572">
        <v>0</v>
      </c>
      <c r="O39" s="1094">
        <v>0</v>
      </c>
      <c r="P39" s="1095">
        <v>0</v>
      </c>
    </row>
    <row r="40" spans="2:16" s="1" customFormat="1" x14ac:dyDescent="0.25">
      <c r="B40" s="509" t="s">
        <v>145</v>
      </c>
      <c r="C40" s="510" t="s">
        <v>597</v>
      </c>
      <c r="D40" s="1049">
        <f t="shared" si="1"/>
        <v>3.524320979831292</v>
      </c>
      <c r="E40" s="1093">
        <v>0</v>
      </c>
      <c r="F40" s="1050">
        <f t="shared" si="23"/>
        <v>3.1223078276573788</v>
      </c>
      <c r="G40" s="309">
        <v>3.1223078276573788</v>
      </c>
      <c r="H40" s="310">
        <v>0</v>
      </c>
      <c r="I40" s="311">
        <v>0</v>
      </c>
      <c r="J40" s="146">
        <f t="shared" si="24"/>
        <v>0.40201315217391309</v>
      </c>
      <c r="K40" s="309">
        <v>0.40201315217391309</v>
      </c>
      <c r="L40" s="310">
        <v>0</v>
      </c>
      <c r="M40" s="311">
        <v>0</v>
      </c>
      <c r="N40" s="572">
        <v>0</v>
      </c>
      <c r="O40" s="1094">
        <v>0</v>
      </c>
      <c r="P40" s="1095">
        <v>0</v>
      </c>
    </row>
    <row r="41" spans="2:16" s="1" customFormat="1" x14ac:dyDescent="0.25">
      <c r="B41" s="509" t="s">
        <v>608</v>
      </c>
      <c r="C41" s="510" t="s">
        <v>23</v>
      </c>
      <c r="D41" s="1049">
        <f t="shared" si="1"/>
        <v>3417.0130020562847</v>
      </c>
      <c r="E41" s="1093">
        <v>0</v>
      </c>
      <c r="F41" s="1050">
        <f t="shared" si="23"/>
        <v>1019.9858744909567</v>
      </c>
      <c r="G41" s="309">
        <v>0</v>
      </c>
      <c r="H41" s="310">
        <v>0</v>
      </c>
      <c r="I41" s="311">
        <v>1019.9858744909567</v>
      </c>
      <c r="J41" s="146">
        <f t="shared" si="24"/>
        <v>2397.0271275653281</v>
      </c>
      <c r="K41" s="309">
        <v>2397.0271275653281</v>
      </c>
      <c r="L41" s="310">
        <v>0</v>
      </c>
      <c r="M41" s="311">
        <v>0</v>
      </c>
      <c r="N41" s="572">
        <v>0</v>
      </c>
      <c r="O41" s="1094">
        <v>0</v>
      </c>
      <c r="P41" s="1095">
        <v>0</v>
      </c>
    </row>
    <row r="42" spans="2:16" s="1" customFormat="1" ht="38.25" x14ac:dyDescent="0.25">
      <c r="B42" s="509" t="s">
        <v>609</v>
      </c>
      <c r="C42" s="510" t="s">
        <v>599</v>
      </c>
      <c r="D42" s="1049">
        <f t="shared" si="1"/>
        <v>85.398007516802295</v>
      </c>
      <c r="E42" s="1093">
        <v>0</v>
      </c>
      <c r="F42" s="1050">
        <f t="shared" si="23"/>
        <v>44.736518036745906</v>
      </c>
      <c r="G42" s="309">
        <v>8.3376259364505287</v>
      </c>
      <c r="H42" s="310">
        <v>21.28643189792664</v>
      </c>
      <c r="I42" s="311">
        <v>15.112460202368737</v>
      </c>
      <c r="J42" s="146">
        <f t="shared" si="24"/>
        <v>40.661489480056396</v>
      </c>
      <c r="K42" s="309">
        <v>0</v>
      </c>
      <c r="L42" s="310">
        <v>40.661489480056396</v>
      </c>
      <c r="M42" s="311">
        <v>0</v>
      </c>
      <c r="N42" s="572">
        <v>0</v>
      </c>
      <c r="O42" s="1094">
        <v>0</v>
      </c>
      <c r="P42" s="1095">
        <v>0</v>
      </c>
    </row>
    <row r="43" spans="2:16" s="1" customFormat="1" x14ac:dyDescent="0.25">
      <c r="B43" s="499" t="s">
        <v>302</v>
      </c>
      <c r="C43" s="524" t="s">
        <v>27</v>
      </c>
      <c r="D43" s="1049">
        <f t="shared" si="1"/>
        <v>41.308245545676641</v>
      </c>
      <c r="E43" s="1050">
        <f>SUM(E44:E45)</f>
        <v>0</v>
      </c>
      <c r="F43" s="1050">
        <f t="shared" si="23"/>
        <v>31.087441030510945</v>
      </c>
      <c r="G43" s="147">
        <f>SUM(G44:G45)</f>
        <v>7.0657796689980934</v>
      </c>
      <c r="H43" s="148">
        <f>SUM(H44:H45)</f>
        <v>0.73908185212333311</v>
      </c>
      <c r="I43" s="149">
        <f>SUM(I44:I45)</f>
        <v>23.282579509389517</v>
      </c>
      <c r="J43" s="146">
        <f t="shared" si="24"/>
        <v>7.09427696697953</v>
      </c>
      <c r="K43" s="147">
        <f t="shared" ref="K43:P43" si="27">SUM(K44:K45)</f>
        <v>1.8913682525252526</v>
      </c>
      <c r="L43" s="148">
        <f t="shared" si="27"/>
        <v>4.4253087144542782</v>
      </c>
      <c r="M43" s="149">
        <f t="shared" si="27"/>
        <v>0.77760000000000007</v>
      </c>
      <c r="N43" s="1051">
        <f t="shared" si="27"/>
        <v>0</v>
      </c>
      <c r="O43" s="145">
        <f t="shared" si="27"/>
        <v>0</v>
      </c>
      <c r="P43" s="1050">
        <f t="shared" si="27"/>
        <v>3.1265275481861674</v>
      </c>
    </row>
    <row r="44" spans="2:16" s="1" customFormat="1" ht="51.75" x14ac:dyDescent="0.25">
      <c r="B44" s="509" t="s">
        <v>304</v>
      </c>
      <c r="C44" s="525" t="s">
        <v>29</v>
      </c>
      <c r="D44" s="1049">
        <f t="shared" si="1"/>
        <v>39.05067629315139</v>
      </c>
      <c r="E44" s="1093">
        <v>0</v>
      </c>
      <c r="F44" s="1050">
        <f t="shared" si="23"/>
        <v>31.087441030510945</v>
      </c>
      <c r="G44" s="309">
        <v>7.0657796689980934</v>
      </c>
      <c r="H44" s="310">
        <v>0.73908185212333311</v>
      </c>
      <c r="I44" s="311">
        <v>23.282579509389517</v>
      </c>
      <c r="J44" s="146">
        <f t="shared" si="24"/>
        <v>4.8367077144542785</v>
      </c>
      <c r="K44" s="309">
        <v>0.41139900000000001</v>
      </c>
      <c r="L44" s="310">
        <v>4.4253087144542782</v>
      </c>
      <c r="M44" s="311">
        <v>0</v>
      </c>
      <c r="N44" s="572">
        <v>0</v>
      </c>
      <c r="O44" s="1094">
        <v>0</v>
      </c>
      <c r="P44" s="1095">
        <v>3.1265275481861674</v>
      </c>
    </row>
    <row r="45" spans="2:16" s="1" customFormat="1" x14ac:dyDescent="0.25">
      <c r="B45" s="509" t="s">
        <v>305</v>
      </c>
      <c r="C45" s="525" t="s">
        <v>31</v>
      </c>
      <c r="D45" s="1049">
        <f t="shared" si="1"/>
        <v>2.2575692525252524</v>
      </c>
      <c r="E45" s="1093">
        <v>0</v>
      </c>
      <c r="F45" s="1050">
        <f t="shared" si="23"/>
        <v>0</v>
      </c>
      <c r="G45" s="309">
        <v>0</v>
      </c>
      <c r="H45" s="310">
        <v>0</v>
      </c>
      <c r="I45" s="311">
        <v>0</v>
      </c>
      <c r="J45" s="146">
        <f t="shared" si="24"/>
        <v>2.2575692525252524</v>
      </c>
      <c r="K45" s="309">
        <v>1.4799692525252526</v>
      </c>
      <c r="L45" s="310">
        <v>0</v>
      </c>
      <c r="M45" s="311">
        <v>0.77760000000000007</v>
      </c>
      <c r="N45" s="572">
        <v>0</v>
      </c>
      <c r="O45" s="1094">
        <v>0</v>
      </c>
      <c r="P45" s="1095">
        <v>0</v>
      </c>
    </row>
    <row r="46" spans="2:16" s="1" customFormat="1" x14ac:dyDescent="0.25">
      <c r="B46" s="499" t="s">
        <v>307</v>
      </c>
      <c r="C46" s="524" t="s">
        <v>33</v>
      </c>
      <c r="D46" s="1049">
        <f t="shared" si="1"/>
        <v>14.972260582647325</v>
      </c>
      <c r="E46" s="1050">
        <f>SUM(E47:E48)</f>
        <v>0.22513311904761907</v>
      </c>
      <c r="F46" s="1050">
        <f t="shared" si="23"/>
        <v>10.686680341787584</v>
      </c>
      <c r="G46" s="147">
        <f>SUM(G47:G48)</f>
        <v>8.0061309456589953</v>
      </c>
      <c r="H46" s="148">
        <f>SUM(H47:H48)</f>
        <v>0</v>
      </c>
      <c r="I46" s="149">
        <f>SUM(I47:I48)</f>
        <v>2.6805493961285882</v>
      </c>
      <c r="J46" s="146">
        <f t="shared" si="24"/>
        <v>3.2820201877365269</v>
      </c>
      <c r="K46" s="147">
        <f t="shared" ref="K46:P46" si="28">SUM(K47:K48)</f>
        <v>1.0969244444444444</v>
      </c>
      <c r="L46" s="148">
        <f t="shared" si="28"/>
        <v>1.6091263351005529</v>
      </c>
      <c r="M46" s="149">
        <f t="shared" si="28"/>
        <v>0.57596940819152986</v>
      </c>
      <c r="N46" s="1051">
        <f t="shared" si="28"/>
        <v>0</v>
      </c>
      <c r="O46" s="145">
        <f t="shared" si="28"/>
        <v>0</v>
      </c>
      <c r="P46" s="1050">
        <f t="shared" si="28"/>
        <v>0.77842693407559582</v>
      </c>
    </row>
    <row r="47" spans="2:16" s="1" customFormat="1" x14ac:dyDescent="0.25">
      <c r="B47" s="509" t="s">
        <v>308</v>
      </c>
      <c r="C47" s="525" t="s">
        <v>600</v>
      </c>
      <c r="D47" s="1049">
        <f t="shared" si="1"/>
        <v>1.5034067758202432</v>
      </c>
      <c r="E47" s="1093">
        <v>0.17307061904761906</v>
      </c>
      <c r="F47" s="1050">
        <f t="shared" si="23"/>
        <v>1.3303361567726242</v>
      </c>
      <c r="G47" s="309">
        <v>0.29570029393370856</v>
      </c>
      <c r="H47" s="310">
        <v>0</v>
      </c>
      <c r="I47" s="311">
        <v>1.0346358628389156</v>
      </c>
      <c r="J47" s="146">
        <f t="shared" si="24"/>
        <v>0</v>
      </c>
      <c r="K47" s="309">
        <v>0</v>
      </c>
      <c r="L47" s="310">
        <v>0</v>
      </c>
      <c r="M47" s="311">
        <v>0</v>
      </c>
      <c r="N47" s="572">
        <v>0</v>
      </c>
      <c r="O47" s="1094">
        <v>0</v>
      </c>
      <c r="P47" s="1095">
        <v>0</v>
      </c>
    </row>
    <row r="48" spans="2:16" s="1" customFormat="1" ht="26.25" x14ac:dyDescent="0.25">
      <c r="B48" s="509" t="s">
        <v>308</v>
      </c>
      <c r="C48" s="581" t="s">
        <v>601</v>
      </c>
      <c r="D48" s="1049">
        <f t="shared" si="1"/>
        <v>13.468853806827079</v>
      </c>
      <c r="E48" s="1093">
        <v>5.2062499999999998E-2</v>
      </c>
      <c r="F48" s="1050">
        <f t="shared" si="23"/>
        <v>9.356344185014958</v>
      </c>
      <c r="G48" s="309">
        <v>7.7104306517252859</v>
      </c>
      <c r="H48" s="310">
        <v>0</v>
      </c>
      <c r="I48" s="311">
        <v>1.6459135332896726</v>
      </c>
      <c r="J48" s="146">
        <f t="shared" si="24"/>
        <v>3.2820201877365269</v>
      </c>
      <c r="K48" s="309">
        <v>1.0969244444444444</v>
      </c>
      <c r="L48" s="310">
        <v>1.6091263351005529</v>
      </c>
      <c r="M48" s="311">
        <v>0.57596940819152986</v>
      </c>
      <c r="N48" s="572">
        <v>0</v>
      </c>
      <c r="O48" s="1094">
        <v>0</v>
      </c>
      <c r="P48" s="1095">
        <v>0.77842693407559582</v>
      </c>
    </row>
    <row r="49" spans="2:17" s="1" customFormat="1" x14ac:dyDescent="0.25">
      <c r="B49" s="499" t="s">
        <v>312</v>
      </c>
      <c r="C49" s="536" t="s">
        <v>39</v>
      </c>
      <c r="D49" s="1061">
        <f t="shared" si="1"/>
        <v>4.0587883120300772</v>
      </c>
      <c r="E49" s="1062">
        <f>SUM(E50:E51)</f>
        <v>1.6227419523809525</v>
      </c>
      <c r="F49" s="1062">
        <f t="shared" si="23"/>
        <v>0.10113885964912288</v>
      </c>
      <c r="G49" s="1063">
        <f>SUM(G50:G51)</f>
        <v>0</v>
      </c>
      <c r="H49" s="1064">
        <f>SUM(H50:H51)</f>
        <v>0</v>
      </c>
      <c r="I49" s="1065">
        <f>SUM(I50:I51)</f>
        <v>0.10113885964912288</v>
      </c>
      <c r="J49" s="1066">
        <f t="shared" si="24"/>
        <v>2.3349075000000017</v>
      </c>
      <c r="K49" s="1063">
        <f t="shared" ref="K49:P49" si="29">SUM(K50:K51)</f>
        <v>2.3349075000000017</v>
      </c>
      <c r="L49" s="1064">
        <f t="shared" si="29"/>
        <v>0</v>
      </c>
      <c r="M49" s="1065">
        <f t="shared" si="29"/>
        <v>0</v>
      </c>
      <c r="N49" s="1067">
        <f t="shared" si="29"/>
        <v>0</v>
      </c>
      <c r="O49" s="1068">
        <f t="shared" si="29"/>
        <v>0</v>
      </c>
      <c r="P49" s="1062">
        <f t="shared" si="29"/>
        <v>0</v>
      </c>
    </row>
    <row r="50" spans="2:17" s="1" customFormat="1" x14ac:dyDescent="0.25">
      <c r="B50" s="1069" t="s">
        <v>314</v>
      </c>
      <c r="C50" s="545" t="s">
        <v>41</v>
      </c>
      <c r="D50" s="1070">
        <f t="shared" si="1"/>
        <v>1.6227419523809525</v>
      </c>
      <c r="E50" s="1093">
        <v>1.6227419523809525</v>
      </c>
      <c r="F50" s="1050">
        <f t="shared" si="23"/>
        <v>0</v>
      </c>
      <c r="G50" s="309">
        <v>0</v>
      </c>
      <c r="H50" s="310">
        <v>0</v>
      </c>
      <c r="I50" s="311">
        <v>0</v>
      </c>
      <c r="J50" s="1066">
        <f t="shared" si="24"/>
        <v>0</v>
      </c>
      <c r="K50" s="309">
        <v>0</v>
      </c>
      <c r="L50" s="310">
        <v>0</v>
      </c>
      <c r="M50" s="311">
        <v>0</v>
      </c>
      <c r="N50" s="572">
        <v>0</v>
      </c>
      <c r="O50" s="1094">
        <v>0</v>
      </c>
      <c r="P50" s="1095">
        <v>0</v>
      </c>
    </row>
    <row r="51" spans="2:17" s="1" customFormat="1" ht="26.25" x14ac:dyDescent="0.25">
      <c r="B51" s="1069" t="s">
        <v>316</v>
      </c>
      <c r="C51" s="552" t="s">
        <v>43</v>
      </c>
      <c r="D51" s="1061">
        <f t="shared" si="1"/>
        <v>2.4360463596491244</v>
      </c>
      <c r="E51" s="1093">
        <v>0</v>
      </c>
      <c r="F51" s="1050">
        <f t="shared" si="23"/>
        <v>0.10113885964912288</v>
      </c>
      <c r="G51" s="309">
        <v>0</v>
      </c>
      <c r="H51" s="310">
        <v>0</v>
      </c>
      <c r="I51" s="311">
        <v>0.10113885964912288</v>
      </c>
      <c r="J51" s="1066">
        <f t="shared" si="24"/>
        <v>2.3349075000000017</v>
      </c>
      <c r="K51" s="309">
        <v>2.3349075000000017</v>
      </c>
      <c r="L51" s="310">
        <v>0</v>
      </c>
      <c r="M51" s="311">
        <v>0</v>
      </c>
      <c r="N51" s="572">
        <v>0</v>
      </c>
      <c r="O51" s="1094">
        <v>0</v>
      </c>
      <c r="P51" s="1095">
        <v>0</v>
      </c>
    </row>
    <row r="52" spans="2:17" s="1" customFormat="1" x14ac:dyDescent="0.25">
      <c r="B52" s="1080" t="s">
        <v>318</v>
      </c>
      <c r="C52" s="556" t="s">
        <v>602</v>
      </c>
      <c r="D52" s="1061">
        <f t="shared" si="1"/>
        <v>0</v>
      </c>
      <c r="E52" s="1062">
        <f>SUM(E53:E55)</f>
        <v>0</v>
      </c>
      <c r="F52" s="1062">
        <f t="shared" si="23"/>
        <v>0</v>
      </c>
      <c r="G52" s="1063">
        <f>SUM(G53:G55)</f>
        <v>0</v>
      </c>
      <c r="H52" s="1064">
        <f>SUM(H53:H55)</f>
        <v>0</v>
      </c>
      <c r="I52" s="1065">
        <f>SUM(I53:I55)</f>
        <v>0</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603</v>
      </c>
      <c r="D53" s="1061">
        <f t="shared" si="1"/>
        <v>0</v>
      </c>
      <c r="E53" s="1093">
        <v>0</v>
      </c>
      <c r="F53" s="1050">
        <f t="shared" si="23"/>
        <v>0</v>
      </c>
      <c r="G53" s="309">
        <v>0</v>
      </c>
      <c r="H53" s="310">
        <v>0</v>
      </c>
      <c r="I53" s="311">
        <v>0</v>
      </c>
      <c r="J53" s="1066">
        <f t="shared" si="24"/>
        <v>0</v>
      </c>
      <c r="K53" s="309">
        <v>0</v>
      </c>
      <c r="L53" s="310">
        <v>0</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v>0</v>
      </c>
      <c r="M55" s="1100">
        <v>0</v>
      </c>
      <c r="N55" s="1101">
        <v>0</v>
      </c>
      <c r="O55" s="1102">
        <v>0</v>
      </c>
      <c r="P55" s="1103">
        <v>0</v>
      </c>
    </row>
    <row r="56" spans="2:17" s="1" customFormat="1" ht="16.5" thickTop="1" thickBot="1" x14ac:dyDescent="0.3">
      <c r="B56" s="489" t="s">
        <v>59</v>
      </c>
      <c r="C56" s="489" t="s">
        <v>612</v>
      </c>
      <c r="D56" s="1041">
        <f t="shared" ref="D56:P56" si="31">D57+D61+D66+D69+D72+D75</f>
        <v>20.665978545079675</v>
      </c>
      <c r="E56" s="1042">
        <f t="shared" si="31"/>
        <v>1.1863105033334514E-2</v>
      </c>
      <c r="F56" s="1042">
        <f t="shared" si="31"/>
        <v>7.0984552741058788</v>
      </c>
      <c r="G56" s="1043">
        <f t="shared" si="31"/>
        <v>0.2204397837287031</v>
      </c>
      <c r="H56" s="1044">
        <f t="shared" si="31"/>
        <v>0.73106835412664606</v>
      </c>
      <c r="I56" s="1045">
        <f t="shared" si="31"/>
        <v>6.146947136250529</v>
      </c>
      <c r="J56" s="1046">
        <f t="shared" si="31"/>
        <v>12.84547373127924</v>
      </c>
      <c r="K56" s="1043">
        <f t="shared" si="31"/>
        <v>11.253372430186209</v>
      </c>
      <c r="L56" s="1044">
        <f t="shared" si="31"/>
        <v>1.5819601614300183</v>
      </c>
      <c r="M56" s="1045">
        <f t="shared" si="31"/>
        <v>1.0141139663012534E-2</v>
      </c>
      <c r="N56" s="1047">
        <f t="shared" si="31"/>
        <v>0</v>
      </c>
      <c r="O56" s="1048">
        <f t="shared" si="31"/>
        <v>0</v>
      </c>
      <c r="P56" s="1042">
        <f t="shared" si="31"/>
        <v>0.71018643466122289</v>
      </c>
      <c r="Q56" s="602"/>
    </row>
    <row r="57" spans="2:17" s="1" customFormat="1" ht="15.75" thickTop="1" x14ac:dyDescent="0.25">
      <c r="B57" s="499" t="s">
        <v>150</v>
      </c>
      <c r="C57" s="500" t="s">
        <v>8</v>
      </c>
      <c r="D57" s="1049">
        <f>SUM(D58:D60)</f>
        <v>0.15093530952380951</v>
      </c>
      <c r="E57" s="1050">
        <f>SUM(E58:E60)</f>
        <v>8.6642954080977649E-5</v>
      </c>
      <c r="F57" s="1050">
        <f t="shared" ref="F57:F78" si="32">SUM(G57:I57)</f>
        <v>5.1844026722517735E-2</v>
      </c>
      <c r="G57" s="147">
        <f>SUM(G58:G60)</f>
        <v>1.6099962029804361E-3</v>
      </c>
      <c r="H57" s="148">
        <f>SUM(H58:H60)</f>
        <v>5.3394049583700412E-3</v>
      </c>
      <c r="I57" s="149">
        <f>SUM(I58:I60)</f>
        <v>4.4894625561167259E-2</v>
      </c>
      <c r="J57" s="146">
        <f t="shared" ref="J57:J78" si="33">SUM(K57:M57)</f>
        <v>9.3817747336828156E-2</v>
      </c>
      <c r="K57" s="147">
        <f t="shared" ref="K57:P57" si="34">SUM(K58:K60)</f>
        <v>8.2189732619327632E-2</v>
      </c>
      <c r="L57" s="148">
        <f t="shared" si="34"/>
        <v>1.1553948248757117E-2</v>
      </c>
      <c r="M57" s="149">
        <f t="shared" si="34"/>
        <v>7.4066468743402876E-5</v>
      </c>
      <c r="N57" s="1051">
        <f t="shared" si="34"/>
        <v>0</v>
      </c>
      <c r="O57" s="145">
        <f t="shared" si="34"/>
        <v>0</v>
      </c>
      <c r="P57" s="1050">
        <f t="shared" si="34"/>
        <v>5.1868925103826548E-3</v>
      </c>
    </row>
    <row r="58" spans="2:17" s="1" customFormat="1" x14ac:dyDescent="0.25">
      <c r="B58" s="509" t="s">
        <v>410</v>
      </c>
      <c r="C58" s="510" t="s">
        <v>10</v>
      </c>
      <c r="D58" s="603">
        <v>0.15093530952380951</v>
      </c>
      <c r="E58" s="1052">
        <f>IFERROR($D58*E80/100, 0)</f>
        <v>8.6642954080977649E-5</v>
      </c>
      <c r="F58" s="1052">
        <f t="shared" si="32"/>
        <v>5.1844026722517735E-2</v>
      </c>
      <c r="G58" s="360">
        <f t="shared" ref="G58:I60" si="35">IFERROR($D58*G80/100, 0)</f>
        <v>1.6099962029804361E-3</v>
      </c>
      <c r="H58" s="361">
        <f t="shared" si="35"/>
        <v>5.3394049583700412E-3</v>
      </c>
      <c r="I58" s="362">
        <f t="shared" si="35"/>
        <v>4.4894625561167259E-2</v>
      </c>
      <c r="J58" s="308">
        <f t="shared" si="33"/>
        <v>9.3817747336828156E-2</v>
      </c>
      <c r="K58" s="360">
        <f t="shared" ref="K58:P60" si="36">IFERROR($D58*K80/100, 0)</f>
        <v>8.2189732619327632E-2</v>
      </c>
      <c r="L58" s="361">
        <f t="shared" si="36"/>
        <v>1.1553948248757117E-2</v>
      </c>
      <c r="M58" s="362">
        <f t="shared" si="36"/>
        <v>7.4066468743402876E-5</v>
      </c>
      <c r="N58" s="1053">
        <f t="shared" si="36"/>
        <v>0</v>
      </c>
      <c r="O58" s="359">
        <f t="shared" si="36"/>
        <v>0</v>
      </c>
      <c r="P58" s="1052">
        <f t="shared" si="36"/>
        <v>5.1868925103826548E-3</v>
      </c>
    </row>
    <row r="59" spans="2:17" s="1" customFormat="1" x14ac:dyDescent="0.25">
      <c r="B59" s="509" t="s">
        <v>411</v>
      </c>
      <c r="C59" s="510" t="s">
        <v>11</v>
      </c>
      <c r="D59" s="603">
        <v>0</v>
      </c>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12.703109438416911</v>
      </c>
      <c r="E61" s="1050">
        <f>SUM(E62:E65)</f>
        <v>7.2920970661591216E-3</v>
      </c>
      <c r="F61" s="1050">
        <f t="shared" si="32"/>
        <v>4.3633285495761678</v>
      </c>
      <c r="G61" s="147">
        <f>SUM(G62:G65)</f>
        <v>0.13550148090874614</v>
      </c>
      <c r="H61" s="148">
        <f>SUM(H62:H65)</f>
        <v>0.44937825175692941</v>
      </c>
      <c r="I61" s="149">
        <f>SUM(I62:I65)</f>
        <v>3.7784488169104922</v>
      </c>
      <c r="J61" s="146">
        <f t="shared" si="33"/>
        <v>7.8959463855439092</v>
      </c>
      <c r="K61" s="147">
        <f t="shared" ref="K61:P61" si="37">SUM(K62:K65)</f>
        <v>6.9173023295310871</v>
      </c>
      <c r="L61" s="148">
        <f t="shared" si="37"/>
        <v>0.97241042876461248</v>
      </c>
      <c r="M61" s="149">
        <f t="shared" si="37"/>
        <v>6.2336272482093578E-3</v>
      </c>
      <c r="N61" s="1051">
        <f t="shared" si="37"/>
        <v>0</v>
      </c>
      <c r="O61" s="145">
        <f t="shared" si="37"/>
        <v>0</v>
      </c>
      <c r="P61" s="1050">
        <f t="shared" si="37"/>
        <v>0.43654240623067747</v>
      </c>
    </row>
    <row r="62" spans="2:17" s="1" customFormat="1" x14ac:dyDescent="0.25">
      <c r="B62" s="509" t="s">
        <v>154</v>
      </c>
      <c r="C62" s="510" t="s">
        <v>17</v>
      </c>
      <c r="D62" s="603">
        <v>9.0611767845326714</v>
      </c>
      <c r="E62" s="1052">
        <f>IFERROR($D62*E83/100, 0)</f>
        <v>5.2014808631511119E-3</v>
      </c>
      <c r="F62" s="1052">
        <f t="shared" si="32"/>
        <v>3.1123790240789542</v>
      </c>
      <c r="G62" s="360">
        <f t="shared" ref="G62:I65" si="38">IFERROR($D62*G83/100, 0)</f>
        <v>9.6653727107710322E-2</v>
      </c>
      <c r="H62" s="361">
        <f t="shared" si="38"/>
        <v>0.32054323408247476</v>
      </c>
      <c r="I62" s="362">
        <f t="shared" si="38"/>
        <v>2.6951820628887693</v>
      </c>
      <c r="J62" s="308">
        <f t="shared" si="33"/>
        <v>5.6322089034542246</v>
      </c>
      <c r="K62" s="360">
        <f t="shared" ref="K62:P65" si="39">IFERROR($D62*K83/100, 0)</f>
        <v>4.934138337058366</v>
      </c>
      <c r="L62" s="361">
        <f t="shared" si="39"/>
        <v>0.69362409612188902</v>
      </c>
      <c r="M62" s="362">
        <f t="shared" si="39"/>
        <v>4.4464702739697142E-3</v>
      </c>
      <c r="N62" s="1053">
        <f t="shared" si="39"/>
        <v>0</v>
      </c>
      <c r="O62" s="359">
        <f t="shared" si="39"/>
        <v>0</v>
      </c>
      <c r="P62" s="1052">
        <f t="shared" si="39"/>
        <v>0.31138737613634215</v>
      </c>
    </row>
    <row r="63" spans="2:17" s="1" customFormat="1" x14ac:dyDescent="0.25">
      <c r="B63" s="509" t="s">
        <v>156</v>
      </c>
      <c r="C63" s="510" t="s">
        <v>597</v>
      </c>
      <c r="D63" s="603">
        <v>1.5589665783505786</v>
      </c>
      <c r="E63" s="1052">
        <f>IFERROR($D63*E84/100, 0)</f>
        <v>8.9490968076294086E-4</v>
      </c>
      <c r="F63" s="1052">
        <f t="shared" si="32"/>
        <v>0.5354817583937832</v>
      </c>
      <c r="G63" s="360">
        <f t="shared" si="38"/>
        <v>1.6629178948494496E-2</v>
      </c>
      <c r="H63" s="361">
        <f t="shared" si="38"/>
        <v>5.5149149027088208E-2</v>
      </c>
      <c r="I63" s="362">
        <f t="shared" si="38"/>
        <v>0.46370343041820045</v>
      </c>
      <c r="J63" s="308">
        <f t="shared" si="33"/>
        <v>0.96901601762828282</v>
      </c>
      <c r="K63" s="360">
        <f t="shared" si="39"/>
        <v>0.84891366136490376</v>
      </c>
      <c r="L63" s="361">
        <f t="shared" si="39"/>
        <v>0.11933734541395154</v>
      </c>
      <c r="M63" s="362">
        <f t="shared" si="39"/>
        <v>7.6501084942750468E-4</v>
      </c>
      <c r="N63" s="1053">
        <f t="shared" si="39"/>
        <v>0</v>
      </c>
      <c r="O63" s="359">
        <f t="shared" si="39"/>
        <v>0</v>
      </c>
      <c r="P63" s="1052">
        <f t="shared" si="39"/>
        <v>5.3573892647750004E-2</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2.0829660755336619</v>
      </c>
      <c r="E65" s="1052">
        <f>IFERROR($D65*E86/100, 0)</f>
        <v>1.1957065222450687E-3</v>
      </c>
      <c r="F65" s="1052">
        <f t="shared" si="32"/>
        <v>0.71546776710342996</v>
      </c>
      <c r="G65" s="360">
        <f t="shared" si="38"/>
        <v>2.2218574852541327E-2</v>
      </c>
      <c r="H65" s="361">
        <f t="shared" si="38"/>
        <v>7.3685868647366412E-2</v>
      </c>
      <c r="I65" s="362">
        <f t="shared" si="38"/>
        <v>0.61956332360352229</v>
      </c>
      <c r="J65" s="308">
        <f t="shared" si="33"/>
        <v>1.2947214644614016</v>
      </c>
      <c r="K65" s="360">
        <f t="shared" si="39"/>
        <v>1.1342503311078176</v>
      </c>
      <c r="L65" s="361">
        <f t="shared" si="39"/>
        <v>0.15944898722877193</v>
      </c>
      <c r="M65" s="362">
        <f t="shared" si="39"/>
        <v>1.0221461248121383E-3</v>
      </c>
      <c r="N65" s="1053">
        <f t="shared" si="39"/>
        <v>0</v>
      </c>
      <c r="O65" s="359">
        <f t="shared" si="39"/>
        <v>0</v>
      </c>
      <c r="P65" s="1052">
        <f t="shared" si="39"/>
        <v>7.1581137446585286E-2</v>
      </c>
    </row>
    <row r="66" spans="2:16" s="1" customFormat="1" x14ac:dyDescent="0.25">
      <c r="B66" s="499" t="s">
        <v>160</v>
      </c>
      <c r="C66" s="524" t="s">
        <v>27</v>
      </c>
      <c r="D66" s="1049">
        <f>D67+D68</f>
        <v>0</v>
      </c>
      <c r="E66" s="1050">
        <f>E67+E68</f>
        <v>0</v>
      </c>
      <c r="F66" s="1050">
        <f t="shared" si="32"/>
        <v>0</v>
      </c>
      <c r="G66" s="147">
        <f>G67+G68</f>
        <v>0</v>
      </c>
      <c r="H66" s="148">
        <f>H67+H68</f>
        <v>0</v>
      </c>
      <c r="I66" s="149">
        <f>I67+I68</f>
        <v>0</v>
      </c>
      <c r="J66" s="146">
        <f t="shared" si="33"/>
        <v>0</v>
      </c>
      <c r="K66" s="147">
        <f t="shared" ref="K66:P66" si="40">K67+K68</f>
        <v>0</v>
      </c>
      <c r="L66" s="148">
        <f t="shared" si="40"/>
        <v>0</v>
      </c>
      <c r="M66" s="149">
        <f t="shared" si="40"/>
        <v>0</v>
      </c>
      <c r="N66" s="1051">
        <f t="shared" si="40"/>
        <v>0</v>
      </c>
      <c r="O66" s="145">
        <f t="shared" si="40"/>
        <v>0</v>
      </c>
      <c r="P66" s="1050">
        <f t="shared" si="40"/>
        <v>0</v>
      </c>
    </row>
    <row r="67" spans="2:16" s="1" customFormat="1" ht="51.75" x14ac:dyDescent="0.25">
      <c r="B67" s="509" t="s">
        <v>412</v>
      </c>
      <c r="C67" s="525" t="s">
        <v>29</v>
      </c>
      <c r="D67" s="603">
        <v>0</v>
      </c>
      <c r="E67" s="1052">
        <f>IFERROR($D67*E87/100, 0)</f>
        <v>0</v>
      </c>
      <c r="F67" s="1052">
        <f t="shared" si="32"/>
        <v>0</v>
      </c>
      <c r="G67" s="360">
        <f t="shared" ref="G67:I68" si="41">IFERROR($D67*G87/100, 0)</f>
        <v>0</v>
      </c>
      <c r="H67" s="361">
        <f t="shared" si="41"/>
        <v>0</v>
      </c>
      <c r="I67" s="362">
        <f t="shared" si="41"/>
        <v>0</v>
      </c>
      <c r="J67" s="308">
        <f t="shared" si="33"/>
        <v>0</v>
      </c>
      <c r="K67" s="360">
        <f t="shared" ref="K67:P68" si="42">IFERROR($D67*K87/100, 0)</f>
        <v>0</v>
      </c>
      <c r="L67" s="361">
        <f t="shared" si="42"/>
        <v>0</v>
      </c>
      <c r="M67" s="362">
        <f t="shared" si="42"/>
        <v>0</v>
      </c>
      <c r="N67" s="1053">
        <f t="shared" si="42"/>
        <v>0</v>
      </c>
      <c r="O67" s="359">
        <f t="shared" si="42"/>
        <v>0</v>
      </c>
      <c r="P67" s="1052">
        <f t="shared" si="42"/>
        <v>0</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1.9859063718551546</v>
      </c>
      <c r="E69" s="1050">
        <f>E70+E71</f>
        <v>1.139990338434523E-3</v>
      </c>
      <c r="F69" s="1050">
        <f t="shared" si="32"/>
        <v>0.68212920711330127</v>
      </c>
      <c r="G69" s="147">
        <f>G70+G71</f>
        <v>2.1183258763298789E-2</v>
      </c>
      <c r="H69" s="148">
        <f>H70+H71</f>
        <v>7.0252337655089245E-2</v>
      </c>
      <c r="I69" s="149">
        <f>I70+I71</f>
        <v>0.59069361069491322</v>
      </c>
      <c r="J69" s="146">
        <f t="shared" si="33"/>
        <v>1.2343914940586764</v>
      </c>
      <c r="K69" s="147">
        <f t="shared" ref="K69:P69" si="43">K70+K71</f>
        <v>1.0813978135715596</v>
      </c>
      <c r="L69" s="148">
        <f t="shared" si="43"/>
        <v>0.15201916317448544</v>
      </c>
      <c r="M69" s="149">
        <f t="shared" si="43"/>
        <v>9.7451731263142004E-4</v>
      </c>
      <c r="N69" s="1051">
        <f t="shared" si="43"/>
        <v>0</v>
      </c>
      <c r="O69" s="145">
        <f t="shared" si="43"/>
        <v>0</v>
      </c>
      <c r="P69" s="1050">
        <f t="shared" si="43"/>
        <v>6.824568034474264E-2</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1.9859063718551546</v>
      </c>
      <c r="E71" s="1052">
        <f>IFERROR($D71*E90/100, 0)</f>
        <v>1.139990338434523E-3</v>
      </c>
      <c r="F71" s="1052">
        <f t="shared" si="32"/>
        <v>0.68212920711330127</v>
      </c>
      <c r="G71" s="360">
        <f t="shared" si="44"/>
        <v>2.1183258763298789E-2</v>
      </c>
      <c r="H71" s="361">
        <f t="shared" si="44"/>
        <v>7.0252337655089245E-2</v>
      </c>
      <c r="I71" s="362">
        <f t="shared" si="44"/>
        <v>0.59069361069491322</v>
      </c>
      <c r="J71" s="308">
        <f t="shared" si="33"/>
        <v>1.2343914940586764</v>
      </c>
      <c r="K71" s="360">
        <f t="shared" si="45"/>
        <v>1.0813978135715596</v>
      </c>
      <c r="L71" s="361">
        <f t="shared" si="45"/>
        <v>0.15201916317448544</v>
      </c>
      <c r="M71" s="362">
        <f t="shared" si="45"/>
        <v>9.7451731263142004E-4</v>
      </c>
      <c r="N71" s="1053">
        <f t="shared" si="45"/>
        <v>0</v>
      </c>
      <c r="O71" s="359">
        <f t="shared" si="45"/>
        <v>0</v>
      </c>
      <c r="P71" s="1052">
        <f t="shared" si="45"/>
        <v>6.824568034474264E-2</v>
      </c>
    </row>
    <row r="72" spans="2:16" s="1" customFormat="1" x14ac:dyDescent="0.25">
      <c r="B72" s="499" t="s">
        <v>418</v>
      </c>
      <c r="C72" s="536" t="s">
        <v>39</v>
      </c>
      <c r="D72" s="1061">
        <f>D73+D74</f>
        <v>5.8260274252837974</v>
      </c>
      <c r="E72" s="1062">
        <f>E73+E74</f>
        <v>3.344374674659892E-3</v>
      </c>
      <c r="F72" s="1062">
        <f t="shared" si="32"/>
        <v>2.0011534906938917</v>
      </c>
      <c r="G72" s="1063">
        <f>G73+G74</f>
        <v>6.2145047853677721E-2</v>
      </c>
      <c r="H72" s="1064">
        <f>H73+H74</f>
        <v>0.20609835975625737</v>
      </c>
      <c r="I72" s="1065">
        <f>I73+I74</f>
        <v>1.7329100830839568</v>
      </c>
      <c r="J72" s="1066">
        <f t="shared" si="33"/>
        <v>3.6213181043398266</v>
      </c>
      <c r="K72" s="1063">
        <f t="shared" ref="K72:P72" si="46">K73+K74</f>
        <v>3.172482554464235</v>
      </c>
      <c r="L72" s="1064">
        <f t="shared" si="46"/>
        <v>0.44597662124216331</v>
      </c>
      <c r="M72" s="1065">
        <f t="shared" si="46"/>
        <v>2.8589286334283538E-3</v>
      </c>
      <c r="N72" s="1067">
        <f t="shared" si="46"/>
        <v>0</v>
      </c>
      <c r="O72" s="1068">
        <f t="shared" si="46"/>
        <v>0</v>
      </c>
      <c r="P72" s="1062">
        <f t="shared" si="46"/>
        <v>0.20021145557542011</v>
      </c>
    </row>
    <row r="73" spans="2:16" s="1" customFormat="1" x14ac:dyDescent="0.25">
      <c r="B73" s="1069" t="s">
        <v>616</v>
      </c>
      <c r="C73" s="545" t="s">
        <v>41</v>
      </c>
      <c r="D73" s="608">
        <v>4.6789686017543861</v>
      </c>
      <c r="E73" s="1052">
        <f>IFERROR($D73*E91/100, 0)</f>
        <v>2.6859166552024799E-3</v>
      </c>
      <c r="F73" s="1052">
        <f t="shared" si="32"/>
        <v>1.6071559000242435</v>
      </c>
      <c r="G73" s="360">
        <f t="shared" ref="G73:I74" si="47">IFERROR($D73*G91/100, 0)</f>
        <v>4.9909605025197354E-2</v>
      </c>
      <c r="H73" s="361">
        <f t="shared" si="47"/>
        <v>0.16552063417820825</v>
      </c>
      <c r="I73" s="362">
        <f t="shared" si="47"/>
        <v>1.3917256608208379</v>
      </c>
      <c r="J73" s="308">
        <f t="shared" si="33"/>
        <v>2.908334010519249</v>
      </c>
      <c r="K73" s="360">
        <f t="shared" ref="K73:P74" si="48">IFERROR($D73*K91/100, 0)</f>
        <v>2.5478675568075659</v>
      </c>
      <c r="L73" s="361">
        <f t="shared" si="48"/>
        <v>0.35817040593607269</v>
      </c>
      <c r="M73" s="362">
        <f t="shared" si="48"/>
        <v>2.2960477756103644E-3</v>
      </c>
      <c r="N73" s="1053">
        <f t="shared" si="48"/>
        <v>0</v>
      </c>
      <c r="O73" s="359">
        <f t="shared" si="48"/>
        <v>0</v>
      </c>
      <c r="P73" s="1052">
        <f t="shared" si="48"/>
        <v>0.16079277455569155</v>
      </c>
    </row>
    <row r="74" spans="2:16" s="1" customFormat="1" ht="26.25" x14ac:dyDescent="0.25">
      <c r="B74" s="1069" t="s">
        <v>617</v>
      </c>
      <c r="C74" s="552" t="s">
        <v>43</v>
      </c>
      <c r="D74" s="609">
        <v>1.1470588235294117</v>
      </c>
      <c r="E74" s="1052">
        <f>IFERROR($D74*E92/100, 0)</f>
        <v>6.5845801945741203E-4</v>
      </c>
      <c r="F74" s="1052">
        <f t="shared" si="32"/>
        <v>0.39399759066964835</v>
      </c>
      <c r="G74" s="360">
        <f t="shared" si="47"/>
        <v>1.2235442828480363E-2</v>
      </c>
      <c r="H74" s="361">
        <f t="shared" si="47"/>
        <v>4.0577725578049124E-2</v>
      </c>
      <c r="I74" s="362">
        <f t="shared" si="47"/>
        <v>0.34118442226311885</v>
      </c>
      <c r="J74" s="308">
        <f t="shared" si="33"/>
        <v>0.71298409382057748</v>
      </c>
      <c r="K74" s="360">
        <f t="shared" si="48"/>
        <v>0.62461499765666895</v>
      </c>
      <c r="L74" s="361">
        <f t="shared" si="48"/>
        <v>8.7806215306090604E-2</v>
      </c>
      <c r="M74" s="362">
        <f t="shared" si="48"/>
        <v>5.6288085781798936E-4</v>
      </c>
      <c r="N74" s="1053">
        <f t="shared" si="48"/>
        <v>0</v>
      </c>
      <c r="O74" s="359">
        <f t="shared" si="48"/>
        <v>0</v>
      </c>
      <c r="P74" s="1052">
        <f t="shared" si="48"/>
        <v>3.9418681019728556E-2</v>
      </c>
    </row>
    <row r="75" spans="2:16" s="1" customFormat="1" x14ac:dyDescent="0.25">
      <c r="B75" s="1080" t="s">
        <v>419</v>
      </c>
      <c r="C75" s="556" t="s">
        <v>602</v>
      </c>
      <c r="D75" s="1061">
        <f>D76+D77</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603</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100.00000000000003</v>
      </c>
      <c r="E80" s="1117">
        <v>5.7404032465517972E-2</v>
      </c>
      <c r="F80" s="633">
        <f t="shared" ref="F80:F95" si="53">SUM(G80:I80)</f>
        <v>34.348507904533449</v>
      </c>
      <c r="G80" s="634">
        <v>1.0666796312008522</v>
      </c>
      <c r="H80" s="635">
        <v>3.537545306804283</v>
      </c>
      <c r="I80" s="637">
        <v>29.744282966528313</v>
      </c>
      <c r="J80" s="633">
        <f t="shared" ref="J80:J95" si="54">SUM(K80:M80)</f>
        <v>62.157587666409327</v>
      </c>
      <c r="K80" s="634">
        <v>54.453615180324988</v>
      </c>
      <c r="L80" s="635">
        <v>7.6549008215566179</v>
      </c>
      <c r="M80" s="637">
        <v>4.9071664527722159E-2</v>
      </c>
      <c r="N80" s="638">
        <v>0</v>
      </c>
      <c r="O80" s="1118">
        <v>0</v>
      </c>
      <c r="P80" s="640">
        <v>3.4365003965917205</v>
      </c>
    </row>
    <row r="81" spans="2:17" s="1" customFormat="1" x14ac:dyDescent="0.25">
      <c r="B81" s="380" t="s">
        <v>69</v>
      </c>
      <c r="C81" s="1119" t="s">
        <v>621</v>
      </c>
      <c r="D81" s="643">
        <f t="shared" si="52"/>
        <v>100.00000000000003</v>
      </c>
      <c r="E81" s="1120">
        <v>5.7404032465517972E-2</v>
      </c>
      <c r="F81" s="645">
        <f t="shared" si="53"/>
        <v>34.348507904533449</v>
      </c>
      <c r="G81" s="646">
        <v>1.0666796312008522</v>
      </c>
      <c r="H81" s="647">
        <v>3.537545306804283</v>
      </c>
      <c r="I81" s="649">
        <v>29.744282966528313</v>
      </c>
      <c r="J81" s="645">
        <f t="shared" si="54"/>
        <v>62.157587666409327</v>
      </c>
      <c r="K81" s="646">
        <v>54.453615180324988</v>
      </c>
      <c r="L81" s="647">
        <v>7.6549008215566179</v>
      </c>
      <c r="M81" s="649">
        <v>4.9071664527722159E-2</v>
      </c>
      <c r="N81" s="650">
        <v>0</v>
      </c>
      <c r="O81" s="1121">
        <v>0</v>
      </c>
      <c r="P81" s="652">
        <v>3.4365003965917205</v>
      </c>
    </row>
    <row r="82" spans="2:17" s="1" customFormat="1" x14ac:dyDescent="0.25">
      <c r="B82" s="380" t="s">
        <v>71</v>
      </c>
      <c r="C82" s="1119" t="s">
        <v>622</v>
      </c>
      <c r="D82" s="643">
        <f t="shared" si="52"/>
        <v>100.00000000000003</v>
      </c>
      <c r="E82" s="1120">
        <v>5.7404032465517972E-2</v>
      </c>
      <c r="F82" s="645">
        <f t="shared" si="53"/>
        <v>34.348507904533449</v>
      </c>
      <c r="G82" s="646">
        <v>1.0666796312008522</v>
      </c>
      <c r="H82" s="647">
        <v>3.537545306804283</v>
      </c>
      <c r="I82" s="649">
        <v>29.744282966528313</v>
      </c>
      <c r="J82" s="645">
        <f t="shared" si="54"/>
        <v>62.157587666409327</v>
      </c>
      <c r="K82" s="646">
        <v>54.453615180324988</v>
      </c>
      <c r="L82" s="647">
        <v>7.6549008215566179</v>
      </c>
      <c r="M82" s="649">
        <v>4.9071664527722159E-2</v>
      </c>
      <c r="N82" s="650">
        <v>0</v>
      </c>
      <c r="O82" s="1121">
        <v>0</v>
      </c>
      <c r="P82" s="652">
        <v>3.4365003965917205</v>
      </c>
    </row>
    <row r="83" spans="2:17" s="1" customFormat="1" x14ac:dyDescent="0.25">
      <c r="B83" s="382" t="s">
        <v>73</v>
      </c>
      <c r="C83" s="1119" t="s">
        <v>623</v>
      </c>
      <c r="D83" s="643">
        <f t="shared" si="52"/>
        <v>100.00000000000003</v>
      </c>
      <c r="E83" s="1120">
        <v>5.7404032465517972E-2</v>
      </c>
      <c r="F83" s="645">
        <f t="shared" si="53"/>
        <v>34.348507904533449</v>
      </c>
      <c r="G83" s="646">
        <v>1.0666796312008522</v>
      </c>
      <c r="H83" s="647">
        <v>3.537545306804283</v>
      </c>
      <c r="I83" s="649">
        <v>29.744282966528313</v>
      </c>
      <c r="J83" s="645">
        <f t="shared" si="54"/>
        <v>62.157587666409327</v>
      </c>
      <c r="K83" s="646">
        <v>54.453615180324988</v>
      </c>
      <c r="L83" s="647">
        <v>7.6549008215566179</v>
      </c>
      <c r="M83" s="649">
        <v>4.9071664527722159E-2</v>
      </c>
      <c r="N83" s="650">
        <v>0</v>
      </c>
      <c r="O83" s="1121">
        <v>0</v>
      </c>
      <c r="P83" s="652">
        <v>3.4365003965917205</v>
      </c>
    </row>
    <row r="84" spans="2:17" s="1" customFormat="1" x14ac:dyDescent="0.25">
      <c r="B84" s="380" t="s">
        <v>75</v>
      </c>
      <c r="C84" s="1119" t="s">
        <v>624</v>
      </c>
      <c r="D84" s="643">
        <f t="shared" si="52"/>
        <v>100.00000000000003</v>
      </c>
      <c r="E84" s="1120">
        <v>5.7404032465517972E-2</v>
      </c>
      <c r="F84" s="645">
        <f t="shared" si="53"/>
        <v>34.348507904533449</v>
      </c>
      <c r="G84" s="646">
        <v>1.0666796312008522</v>
      </c>
      <c r="H84" s="647">
        <v>3.537545306804283</v>
      </c>
      <c r="I84" s="649">
        <v>29.744282966528313</v>
      </c>
      <c r="J84" s="645">
        <f t="shared" si="54"/>
        <v>62.157587666409327</v>
      </c>
      <c r="K84" s="646">
        <v>54.453615180324988</v>
      </c>
      <c r="L84" s="647">
        <v>7.6549008215566179</v>
      </c>
      <c r="M84" s="649">
        <v>4.9071664527722159E-2</v>
      </c>
      <c r="N84" s="650">
        <v>0</v>
      </c>
      <c r="O84" s="1121">
        <v>0</v>
      </c>
      <c r="P84" s="652">
        <v>3.4365003965917205</v>
      </c>
    </row>
    <row r="85" spans="2:17" s="1" customFormat="1" x14ac:dyDescent="0.25">
      <c r="B85" s="380" t="s">
        <v>466</v>
      </c>
      <c r="C85" s="1119" t="s">
        <v>625</v>
      </c>
      <c r="D85" s="643">
        <f t="shared" si="52"/>
        <v>100.00000000000003</v>
      </c>
      <c r="E85" s="1120">
        <v>5.7404032465517972E-2</v>
      </c>
      <c r="F85" s="645">
        <f t="shared" si="53"/>
        <v>34.348507904533449</v>
      </c>
      <c r="G85" s="646">
        <v>1.0666796312008522</v>
      </c>
      <c r="H85" s="647">
        <v>3.537545306804283</v>
      </c>
      <c r="I85" s="649">
        <v>29.744282966528313</v>
      </c>
      <c r="J85" s="645">
        <f t="shared" si="54"/>
        <v>62.157587666409327</v>
      </c>
      <c r="K85" s="646">
        <v>54.453615180324988</v>
      </c>
      <c r="L85" s="647">
        <v>7.6549008215566179</v>
      </c>
      <c r="M85" s="649">
        <v>4.9071664527722159E-2</v>
      </c>
      <c r="N85" s="650">
        <v>0</v>
      </c>
      <c r="O85" s="1121">
        <v>0</v>
      </c>
      <c r="P85" s="652">
        <v>3.4365003965917205</v>
      </c>
    </row>
    <row r="86" spans="2:17" s="1" customFormat="1" x14ac:dyDescent="0.25">
      <c r="B86" s="380" t="s">
        <v>470</v>
      </c>
      <c r="C86" s="1119" t="s">
        <v>626</v>
      </c>
      <c r="D86" s="643">
        <f t="shared" si="52"/>
        <v>100.00000000000003</v>
      </c>
      <c r="E86" s="1120">
        <v>5.7404032465517972E-2</v>
      </c>
      <c r="F86" s="645">
        <f t="shared" si="53"/>
        <v>34.348507904533449</v>
      </c>
      <c r="G86" s="646">
        <v>1.0666796312008522</v>
      </c>
      <c r="H86" s="647">
        <v>3.537545306804283</v>
      </c>
      <c r="I86" s="649">
        <v>29.744282966528313</v>
      </c>
      <c r="J86" s="645">
        <f t="shared" si="54"/>
        <v>62.157587666409327</v>
      </c>
      <c r="K86" s="646">
        <v>54.453615180324988</v>
      </c>
      <c r="L86" s="647">
        <v>7.6549008215566179</v>
      </c>
      <c r="M86" s="649">
        <v>4.9071664527722159E-2</v>
      </c>
      <c r="N86" s="650">
        <v>0</v>
      </c>
      <c r="O86" s="1121">
        <v>0</v>
      </c>
      <c r="P86" s="652">
        <v>3.4365003965917205</v>
      </c>
    </row>
    <row r="87" spans="2:17" s="1" customFormat="1" x14ac:dyDescent="0.25">
      <c r="B87" s="382" t="s">
        <v>474</v>
      </c>
      <c r="C87" s="1119" t="s">
        <v>627</v>
      </c>
      <c r="D87" s="643">
        <f t="shared" si="52"/>
        <v>100.00000000000003</v>
      </c>
      <c r="E87" s="1120">
        <v>5.7404032465517972E-2</v>
      </c>
      <c r="F87" s="645">
        <f t="shared" si="53"/>
        <v>34.348507904533449</v>
      </c>
      <c r="G87" s="646">
        <v>1.0666796312008522</v>
      </c>
      <c r="H87" s="647">
        <v>3.537545306804283</v>
      </c>
      <c r="I87" s="649">
        <v>29.744282966528313</v>
      </c>
      <c r="J87" s="645">
        <f t="shared" si="54"/>
        <v>62.157587666409327</v>
      </c>
      <c r="K87" s="646">
        <v>54.453615180324988</v>
      </c>
      <c r="L87" s="647">
        <v>7.6549008215566179</v>
      </c>
      <c r="M87" s="649">
        <v>4.9071664527722159E-2</v>
      </c>
      <c r="N87" s="650">
        <v>0</v>
      </c>
      <c r="O87" s="1121">
        <v>0</v>
      </c>
      <c r="P87" s="652">
        <v>3.4365003965917205</v>
      </c>
    </row>
    <row r="88" spans="2:17" s="1" customFormat="1" x14ac:dyDescent="0.25">
      <c r="B88" s="382" t="s">
        <v>478</v>
      </c>
      <c r="C88" s="1119" t="s">
        <v>628</v>
      </c>
      <c r="D88" s="643">
        <f t="shared" si="52"/>
        <v>100.00000000000003</v>
      </c>
      <c r="E88" s="1120">
        <v>5.7404032465517972E-2</v>
      </c>
      <c r="F88" s="645">
        <f t="shared" si="53"/>
        <v>34.348507904533449</v>
      </c>
      <c r="G88" s="646">
        <v>1.0666796312008522</v>
      </c>
      <c r="H88" s="647">
        <v>3.537545306804283</v>
      </c>
      <c r="I88" s="649">
        <v>29.744282966528313</v>
      </c>
      <c r="J88" s="645">
        <f t="shared" si="54"/>
        <v>62.157587666409327</v>
      </c>
      <c r="K88" s="646">
        <v>54.453615180324988</v>
      </c>
      <c r="L88" s="647">
        <v>7.6549008215566179</v>
      </c>
      <c r="M88" s="649">
        <v>4.9071664527722159E-2</v>
      </c>
      <c r="N88" s="650">
        <v>0</v>
      </c>
      <c r="O88" s="1121">
        <v>0</v>
      </c>
      <c r="P88" s="652">
        <v>3.4365003965917205</v>
      </c>
    </row>
    <row r="89" spans="2:17" s="1" customFormat="1" x14ac:dyDescent="0.25">
      <c r="B89" s="382" t="s">
        <v>494</v>
      </c>
      <c r="C89" s="1119" t="s">
        <v>629</v>
      </c>
      <c r="D89" s="643">
        <f t="shared" si="52"/>
        <v>100.00000000000003</v>
      </c>
      <c r="E89" s="1120">
        <v>5.7404032465517972E-2</v>
      </c>
      <c r="F89" s="645">
        <f t="shared" si="53"/>
        <v>34.348507904533449</v>
      </c>
      <c r="G89" s="646">
        <v>1.0666796312008522</v>
      </c>
      <c r="H89" s="647">
        <v>3.537545306804283</v>
      </c>
      <c r="I89" s="649">
        <v>29.744282966528313</v>
      </c>
      <c r="J89" s="645">
        <f t="shared" si="54"/>
        <v>62.157587666409327</v>
      </c>
      <c r="K89" s="646">
        <v>54.453615180324988</v>
      </c>
      <c r="L89" s="647">
        <v>7.6549008215566179</v>
      </c>
      <c r="M89" s="649">
        <v>4.9071664527722159E-2</v>
      </c>
      <c r="N89" s="650">
        <v>0</v>
      </c>
      <c r="O89" s="1121">
        <v>0</v>
      </c>
      <c r="P89" s="652">
        <v>3.4365003965917205</v>
      </c>
    </row>
    <row r="90" spans="2:17" s="1" customFormat="1" x14ac:dyDescent="0.25">
      <c r="B90" s="382" t="s">
        <v>495</v>
      </c>
      <c r="C90" s="1119" t="s">
        <v>630</v>
      </c>
      <c r="D90" s="643">
        <f t="shared" si="52"/>
        <v>100.00000000000003</v>
      </c>
      <c r="E90" s="1120">
        <v>5.7404032465517972E-2</v>
      </c>
      <c r="F90" s="645">
        <f t="shared" si="53"/>
        <v>34.348507904533449</v>
      </c>
      <c r="G90" s="646">
        <v>1.0666796312008522</v>
      </c>
      <c r="H90" s="647">
        <v>3.537545306804283</v>
      </c>
      <c r="I90" s="649">
        <v>29.744282966528313</v>
      </c>
      <c r="J90" s="645">
        <f t="shared" si="54"/>
        <v>62.157587666409327</v>
      </c>
      <c r="K90" s="646">
        <v>54.453615180324988</v>
      </c>
      <c r="L90" s="647">
        <v>7.6549008215566179</v>
      </c>
      <c r="M90" s="649">
        <v>4.9071664527722159E-2</v>
      </c>
      <c r="N90" s="650">
        <v>0</v>
      </c>
      <c r="O90" s="1121">
        <v>0</v>
      </c>
      <c r="P90" s="652">
        <v>3.4365003965917205</v>
      </c>
    </row>
    <row r="91" spans="2:17" s="1" customFormat="1" x14ac:dyDescent="0.25">
      <c r="B91" s="382" t="s">
        <v>631</v>
      </c>
      <c r="C91" s="1119" t="s">
        <v>632</v>
      </c>
      <c r="D91" s="643">
        <f t="shared" si="52"/>
        <v>100.00000000000003</v>
      </c>
      <c r="E91" s="1120">
        <v>5.7404032465517972E-2</v>
      </c>
      <c r="F91" s="645">
        <f t="shared" si="53"/>
        <v>34.348507904533449</v>
      </c>
      <c r="G91" s="646">
        <v>1.0666796312008522</v>
      </c>
      <c r="H91" s="647">
        <v>3.537545306804283</v>
      </c>
      <c r="I91" s="649">
        <v>29.744282966528313</v>
      </c>
      <c r="J91" s="645">
        <f t="shared" si="54"/>
        <v>62.157587666409327</v>
      </c>
      <c r="K91" s="646">
        <v>54.453615180324988</v>
      </c>
      <c r="L91" s="647">
        <v>7.6549008215566179</v>
      </c>
      <c r="M91" s="649">
        <v>4.9071664527722159E-2</v>
      </c>
      <c r="N91" s="650">
        <v>0</v>
      </c>
      <c r="O91" s="1121">
        <v>0</v>
      </c>
      <c r="P91" s="652">
        <v>3.4365003965917205</v>
      </c>
    </row>
    <row r="92" spans="2:17" s="1" customFormat="1" x14ac:dyDescent="0.25">
      <c r="B92" s="382" t="s">
        <v>633</v>
      </c>
      <c r="C92" s="1119" t="s">
        <v>634</v>
      </c>
      <c r="D92" s="643">
        <f t="shared" si="52"/>
        <v>100.00000000000003</v>
      </c>
      <c r="E92" s="1120">
        <v>5.7404032465517972E-2</v>
      </c>
      <c r="F92" s="645">
        <f t="shared" si="53"/>
        <v>34.348507904533449</v>
      </c>
      <c r="G92" s="646">
        <v>1.0666796312008522</v>
      </c>
      <c r="H92" s="647">
        <v>3.537545306804283</v>
      </c>
      <c r="I92" s="649">
        <v>29.744282966528313</v>
      </c>
      <c r="J92" s="645">
        <f t="shared" si="54"/>
        <v>62.157587666409327</v>
      </c>
      <c r="K92" s="646">
        <v>54.453615180324988</v>
      </c>
      <c r="L92" s="647">
        <v>7.6549008215566179</v>
      </c>
      <c r="M92" s="649">
        <v>4.9071664527722159E-2</v>
      </c>
      <c r="N92" s="650">
        <v>0</v>
      </c>
      <c r="O92" s="1121">
        <v>0</v>
      </c>
      <c r="P92" s="652">
        <v>3.4365003965917205</v>
      </c>
    </row>
    <row r="93" spans="2:17" s="1" customFormat="1" x14ac:dyDescent="0.25">
      <c r="B93" s="380" t="s">
        <v>635</v>
      </c>
      <c r="C93" s="1119" t="s">
        <v>636</v>
      </c>
      <c r="D93" s="643">
        <f t="shared" si="52"/>
        <v>100.00000000000003</v>
      </c>
      <c r="E93" s="1120">
        <v>5.7404032465517972E-2</v>
      </c>
      <c r="F93" s="645">
        <f t="shared" si="53"/>
        <v>34.348507904533449</v>
      </c>
      <c r="G93" s="646">
        <v>1.0666796312008522</v>
      </c>
      <c r="H93" s="647">
        <v>3.537545306804283</v>
      </c>
      <c r="I93" s="649">
        <v>29.744282966528313</v>
      </c>
      <c r="J93" s="645">
        <f t="shared" si="54"/>
        <v>62.157587666409327</v>
      </c>
      <c r="K93" s="646">
        <v>54.453615180324988</v>
      </c>
      <c r="L93" s="647">
        <v>7.6549008215566179</v>
      </c>
      <c r="M93" s="649">
        <v>4.9071664527722159E-2</v>
      </c>
      <c r="N93" s="650">
        <v>0</v>
      </c>
      <c r="O93" s="1121">
        <v>0</v>
      </c>
      <c r="P93" s="652">
        <v>3.4365003965917205</v>
      </c>
    </row>
    <row r="94" spans="2:17" s="1" customFormat="1" x14ac:dyDescent="0.25">
      <c r="B94" s="382" t="s">
        <v>637</v>
      </c>
      <c r="C94" s="1122" t="s">
        <v>638</v>
      </c>
      <c r="D94" s="655">
        <f t="shared" si="52"/>
        <v>100.00000000000003</v>
      </c>
      <c r="E94" s="1123">
        <v>5.7404032465517972E-2</v>
      </c>
      <c r="F94" s="657">
        <f t="shared" si="53"/>
        <v>34.348507904533449</v>
      </c>
      <c r="G94" s="658">
        <v>1.0666796312008522</v>
      </c>
      <c r="H94" s="659">
        <v>3.537545306804283</v>
      </c>
      <c r="I94" s="661">
        <v>29.744282966528313</v>
      </c>
      <c r="J94" s="657">
        <f t="shared" si="54"/>
        <v>62.157587666409327</v>
      </c>
      <c r="K94" s="658">
        <v>54.453615180324988</v>
      </c>
      <c r="L94" s="659">
        <v>7.6549008215566179</v>
      </c>
      <c r="M94" s="661">
        <v>4.9071664527722159E-2</v>
      </c>
      <c r="N94" s="662">
        <v>0</v>
      </c>
      <c r="O94" s="1124">
        <v>0</v>
      </c>
      <c r="P94" s="664">
        <v>3.4365003965917205</v>
      </c>
    </row>
    <row r="95" spans="2:17" s="1" customFormat="1" ht="15.75" thickBot="1" x14ac:dyDescent="0.3">
      <c r="B95" s="1125" t="s">
        <v>639</v>
      </c>
      <c r="C95" s="1126" t="s">
        <v>640</v>
      </c>
      <c r="D95" s="667">
        <f t="shared" si="52"/>
        <v>100.00000000000003</v>
      </c>
      <c r="E95" s="1127">
        <v>5.7404032465517972E-2</v>
      </c>
      <c r="F95" s="1128">
        <f t="shared" si="53"/>
        <v>34.348507904533449</v>
      </c>
      <c r="G95" s="670">
        <v>1.0666796312008522</v>
      </c>
      <c r="H95" s="671">
        <v>3.537545306804283</v>
      </c>
      <c r="I95" s="673">
        <v>29.744282966528313</v>
      </c>
      <c r="J95" s="669">
        <f t="shared" si="54"/>
        <v>62.157587666409327</v>
      </c>
      <c r="K95" s="670">
        <v>54.453615180324988</v>
      </c>
      <c r="L95" s="671">
        <v>7.6549008215566179</v>
      </c>
      <c r="M95" s="673">
        <v>4.9071664527722159E-2</v>
      </c>
      <c r="N95" s="668">
        <v>0</v>
      </c>
      <c r="O95" s="1129">
        <v>0</v>
      </c>
      <c r="P95" s="1127">
        <v>3.4365003965917205</v>
      </c>
    </row>
    <row r="96" spans="2:17" s="1" customFormat="1" ht="16.5" thickTop="1" thickBot="1" x14ac:dyDescent="0.3">
      <c r="B96" s="489" t="s">
        <v>77</v>
      </c>
      <c r="C96" s="489" t="s">
        <v>641</v>
      </c>
      <c r="D96" s="1041">
        <f t="shared" ref="D96:P96" si="55">D97+D101+D106+D108+D111+D114</f>
        <v>14.344475818413322</v>
      </c>
      <c r="E96" s="1042">
        <f t="shared" si="55"/>
        <v>0.66793436982415444</v>
      </c>
      <c r="F96" s="1042">
        <f t="shared" si="55"/>
        <v>7.0868030695929782</v>
      </c>
      <c r="G96" s="1043">
        <f t="shared" si="55"/>
        <v>3.4468868220459781</v>
      </c>
      <c r="H96" s="1044">
        <f t="shared" si="55"/>
        <v>0.40490146204897731</v>
      </c>
      <c r="I96" s="1045">
        <f t="shared" si="55"/>
        <v>3.2350147854980222</v>
      </c>
      <c r="J96" s="1046">
        <f t="shared" si="55"/>
        <v>5.9771791845628695</v>
      </c>
      <c r="K96" s="1043">
        <f t="shared" si="55"/>
        <v>4.181494924380817</v>
      </c>
      <c r="L96" s="1044">
        <f t="shared" si="55"/>
        <v>1.5541018969623024</v>
      </c>
      <c r="M96" s="1045">
        <f t="shared" si="55"/>
        <v>0.2415823632197496</v>
      </c>
      <c r="N96" s="1047">
        <f t="shared" si="55"/>
        <v>0</v>
      </c>
      <c r="O96" s="1048">
        <f t="shared" si="55"/>
        <v>0</v>
      </c>
      <c r="P96" s="1042">
        <f t="shared" si="55"/>
        <v>0.61255919443331974</v>
      </c>
      <c r="Q96" s="602"/>
    </row>
    <row r="97" spans="2:17" s="1" customFormat="1" ht="15.75" thickTop="1" x14ac:dyDescent="0.25">
      <c r="B97" s="499" t="s">
        <v>497</v>
      </c>
      <c r="C97" s="500" t="s">
        <v>8</v>
      </c>
      <c r="D97" s="1049">
        <f>SUM(D98:D100)</f>
        <v>4.1437410426450745</v>
      </c>
      <c r="E97" s="1050">
        <f>SUM(E98:E100)</f>
        <v>2.3786744534069716E-3</v>
      </c>
      <c r="F97" s="1050">
        <f t="shared" ref="F97:F117" si="56">SUM(G97:I97)</f>
        <v>1.42331321957634</v>
      </c>
      <c r="G97" s="147">
        <f>SUM(G98:G100)</f>
        <v>4.4200441671604827E-2</v>
      </c>
      <c r="H97" s="148">
        <f>SUM(H98:H100)</f>
        <v>0.14658671678021368</v>
      </c>
      <c r="I97" s="149">
        <f>SUM(I98:I100)</f>
        <v>1.2325260611245215</v>
      </c>
      <c r="J97" s="146">
        <f t="shared" ref="J97:J117" si="57">SUM(K97:M97)</f>
        <v>2.5756494712510953</v>
      </c>
      <c r="K97" s="147">
        <f t="shared" ref="K97:P97" si="58">SUM(K98:K100)</f>
        <v>2.2564168014311345</v>
      </c>
      <c r="L97" s="148">
        <f t="shared" si="58"/>
        <v>0.3171992671166165</v>
      </c>
      <c r="M97" s="149">
        <f t="shared" si="58"/>
        <v>2.0334027033443274E-3</v>
      </c>
      <c r="N97" s="1051">
        <f t="shared" si="58"/>
        <v>0</v>
      </c>
      <c r="O97" s="145">
        <f t="shared" si="58"/>
        <v>0</v>
      </c>
      <c r="P97" s="1050">
        <f t="shared" si="58"/>
        <v>0.14239967736423187</v>
      </c>
      <c r="Q97" s="602"/>
    </row>
    <row r="98" spans="2:17" s="1" customFormat="1" x14ac:dyDescent="0.25">
      <c r="B98" s="509" t="s">
        <v>498</v>
      </c>
      <c r="C98" s="510" t="s">
        <v>10</v>
      </c>
      <c r="D98" s="603">
        <v>4.1437410426450745</v>
      </c>
      <c r="E98" s="1052">
        <f>IFERROR($D98*E119/100, 0)</f>
        <v>2.3786744534069716E-3</v>
      </c>
      <c r="F98" s="1052">
        <f t="shared" si="56"/>
        <v>1.42331321957634</v>
      </c>
      <c r="G98" s="360">
        <f t="shared" ref="G98:I100" si="59">IFERROR($D98*G119/100, 0)</f>
        <v>4.4200441671604827E-2</v>
      </c>
      <c r="H98" s="361">
        <f t="shared" si="59"/>
        <v>0.14658671678021368</v>
      </c>
      <c r="I98" s="362">
        <f t="shared" si="59"/>
        <v>1.2325260611245215</v>
      </c>
      <c r="J98" s="308">
        <f t="shared" si="57"/>
        <v>2.5756494712510953</v>
      </c>
      <c r="K98" s="360">
        <f t="shared" ref="K98:P100" si="60">IFERROR($D98*K119/100, 0)</f>
        <v>2.2564168014311345</v>
      </c>
      <c r="L98" s="361">
        <f t="shared" si="60"/>
        <v>0.3171992671166165</v>
      </c>
      <c r="M98" s="362">
        <f t="shared" si="60"/>
        <v>2.0334027033443274E-3</v>
      </c>
      <c r="N98" s="1053">
        <f t="shared" si="60"/>
        <v>0</v>
      </c>
      <c r="O98" s="359">
        <f t="shared" si="60"/>
        <v>0</v>
      </c>
      <c r="P98" s="1052">
        <f t="shared" si="60"/>
        <v>0.14239967736423187</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0.61651713978494627</v>
      </c>
      <c r="E101" s="1050">
        <f>SUM(E102:E105)</f>
        <v>8.4266730792456273E-6</v>
      </c>
      <c r="F101" s="1050">
        <f t="shared" si="56"/>
        <v>0.32032026090516807</v>
      </c>
      <c r="G101" s="147">
        <f>SUM(G102:G105)</f>
        <v>5.8915524319301603E-2</v>
      </c>
      <c r="H101" s="148">
        <f>SUM(H102:H105)</f>
        <v>0.15053420384054256</v>
      </c>
      <c r="I101" s="149">
        <f>SUM(I102:I105)</f>
        <v>0.11087053274532394</v>
      </c>
      <c r="J101" s="146">
        <f t="shared" si="57"/>
        <v>0.29568398824946435</v>
      </c>
      <c r="K101" s="147">
        <f t="shared" ref="K101:P101" si="61">SUM(K102:K105)</f>
        <v>7.9935640999311292E-3</v>
      </c>
      <c r="L101" s="148">
        <f t="shared" si="61"/>
        <v>0.28768322063339213</v>
      </c>
      <c r="M101" s="149">
        <f t="shared" si="61"/>
        <v>7.2035161410989848E-6</v>
      </c>
      <c r="N101" s="1051">
        <f t="shared" si="61"/>
        <v>0</v>
      </c>
      <c r="O101" s="145">
        <f t="shared" si="61"/>
        <v>0</v>
      </c>
      <c r="P101" s="1050">
        <f t="shared" si="61"/>
        <v>5.0446395723456041E-4</v>
      </c>
      <c r="Q101" s="602"/>
    </row>
    <row r="102" spans="2:17" s="1" customFormat="1" x14ac:dyDescent="0.25">
      <c r="B102" s="509" t="s">
        <v>500</v>
      </c>
      <c r="C102" s="510" t="s">
        <v>17</v>
      </c>
      <c r="D102" s="603">
        <v>0</v>
      </c>
      <c r="E102" s="1052">
        <f>IFERROR($D102*E122/100, 0)</f>
        <v>0</v>
      </c>
      <c r="F102" s="1052">
        <f t="shared" si="56"/>
        <v>0</v>
      </c>
      <c r="G102" s="360">
        <f t="shared" ref="G102:I105" si="62">IFERROR($D102*G122/100, 0)</f>
        <v>0</v>
      </c>
      <c r="H102" s="361">
        <f t="shared" si="62"/>
        <v>0</v>
      </c>
      <c r="I102" s="362">
        <f t="shared" si="62"/>
        <v>0</v>
      </c>
      <c r="J102" s="308">
        <f t="shared" si="57"/>
        <v>0</v>
      </c>
      <c r="K102" s="360">
        <f t="shared" ref="K102:P105" si="63">IFERROR($D102*K122/100, 0)</f>
        <v>0</v>
      </c>
      <c r="L102" s="361">
        <f t="shared" si="63"/>
        <v>0</v>
      </c>
      <c r="M102" s="362">
        <f t="shared" si="63"/>
        <v>0</v>
      </c>
      <c r="N102" s="1053">
        <f t="shared" si="63"/>
        <v>0</v>
      </c>
      <c r="O102" s="359">
        <f t="shared" si="63"/>
        <v>0</v>
      </c>
      <c r="P102" s="1052">
        <f t="shared" si="63"/>
        <v>0</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0.61651713978494627</v>
      </c>
      <c r="E105" s="1052">
        <f>IFERROR($D105*E125/100, 0)</f>
        <v>8.4266730792456273E-6</v>
      </c>
      <c r="F105" s="1052">
        <f t="shared" si="56"/>
        <v>0.32032026090516807</v>
      </c>
      <c r="G105" s="360">
        <f t="shared" si="62"/>
        <v>5.8915524319301603E-2</v>
      </c>
      <c r="H105" s="361">
        <f t="shared" si="62"/>
        <v>0.15053420384054256</v>
      </c>
      <c r="I105" s="362">
        <f t="shared" si="62"/>
        <v>0.11087053274532394</v>
      </c>
      <c r="J105" s="308">
        <f t="shared" si="57"/>
        <v>0.29568398824946435</v>
      </c>
      <c r="K105" s="360">
        <f t="shared" si="63"/>
        <v>7.9935640999311292E-3</v>
      </c>
      <c r="L105" s="361">
        <f t="shared" si="63"/>
        <v>0.28768322063339213</v>
      </c>
      <c r="M105" s="362">
        <f t="shared" si="63"/>
        <v>7.2035161410989848E-6</v>
      </c>
      <c r="N105" s="1053">
        <f t="shared" si="63"/>
        <v>0</v>
      </c>
      <c r="O105" s="359">
        <f t="shared" si="63"/>
        <v>0</v>
      </c>
      <c r="P105" s="1052">
        <f t="shared" si="63"/>
        <v>5.0446395723456041E-4</v>
      </c>
    </row>
    <row r="106" spans="2:17" s="1" customFormat="1" x14ac:dyDescent="0.25">
      <c r="B106" s="499" t="s">
        <v>173</v>
      </c>
      <c r="C106" s="524" t="s">
        <v>27</v>
      </c>
      <c r="D106" s="1049">
        <f>D107</f>
        <v>0.6969129275362318</v>
      </c>
      <c r="E106" s="1050">
        <f>E107</f>
        <v>0</v>
      </c>
      <c r="F106" s="1050">
        <f t="shared" si="56"/>
        <v>0.55479806228049755</v>
      </c>
      <c r="G106" s="147">
        <f>G107</f>
        <v>0.12609853815287311</v>
      </c>
      <c r="H106" s="148">
        <f>H107</f>
        <v>1.3189930268698191E-2</v>
      </c>
      <c r="I106" s="149">
        <f>I107</f>
        <v>0.41550959385892627</v>
      </c>
      <c r="J106" s="146">
        <f t="shared" si="57"/>
        <v>8.6317689035991518E-2</v>
      </c>
      <c r="K106" s="147">
        <f t="shared" ref="K106:P106" si="64">K107</f>
        <v>7.3419799268818449E-3</v>
      </c>
      <c r="L106" s="148">
        <f t="shared" si="64"/>
        <v>7.8975709109109671E-2</v>
      </c>
      <c r="M106" s="149">
        <f t="shared" si="64"/>
        <v>0</v>
      </c>
      <c r="N106" s="1051">
        <f t="shared" si="64"/>
        <v>0</v>
      </c>
      <c r="O106" s="145">
        <f t="shared" si="64"/>
        <v>0</v>
      </c>
      <c r="P106" s="1050">
        <f t="shared" si="64"/>
        <v>5.5797176219742763E-2</v>
      </c>
      <c r="Q106" s="602"/>
    </row>
    <row r="107" spans="2:17" s="1" customFormat="1" x14ac:dyDescent="0.25">
      <c r="B107" s="509" t="s">
        <v>503</v>
      </c>
      <c r="C107" s="525" t="s">
        <v>647</v>
      </c>
      <c r="D107" s="603">
        <v>0.6969129275362318</v>
      </c>
      <c r="E107" s="1052">
        <f>IFERROR($D107*E126/100, 0)</f>
        <v>0</v>
      </c>
      <c r="F107" s="1052">
        <f t="shared" si="56"/>
        <v>0.55479806228049755</v>
      </c>
      <c r="G107" s="360">
        <f>IFERROR($D107*G126/100, 0)</f>
        <v>0.12609853815287311</v>
      </c>
      <c r="H107" s="361">
        <f>IFERROR($D107*H126/100, 0)</f>
        <v>1.3189930268698191E-2</v>
      </c>
      <c r="I107" s="362">
        <f>IFERROR($D107*I126/100, 0)</f>
        <v>0.41550959385892627</v>
      </c>
      <c r="J107" s="308">
        <f t="shared" si="57"/>
        <v>8.6317689035991518E-2</v>
      </c>
      <c r="K107" s="360">
        <f t="shared" ref="K107:P107" si="65">IFERROR($D107*K126/100, 0)</f>
        <v>7.3419799268818449E-3</v>
      </c>
      <c r="L107" s="361">
        <f t="shared" si="65"/>
        <v>7.8975709109109671E-2</v>
      </c>
      <c r="M107" s="362">
        <f t="shared" si="65"/>
        <v>0</v>
      </c>
      <c r="N107" s="1053">
        <f t="shared" si="65"/>
        <v>0</v>
      </c>
      <c r="O107" s="359">
        <f t="shared" si="65"/>
        <v>0</v>
      </c>
      <c r="P107" s="1052">
        <f t="shared" si="65"/>
        <v>5.5797176219742763E-2</v>
      </c>
    </row>
    <row r="108" spans="2:17" s="1" customFormat="1" x14ac:dyDescent="0.25">
      <c r="B108" s="499" t="s">
        <v>175</v>
      </c>
      <c r="C108" s="524" t="s">
        <v>33</v>
      </c>
      <c r="D108" s="1049">
        <f>D109+D110</f>
        <v>6.3923217152497891</v>
      </c>
      <c r="E108" s="1050">
        <f>E109+E110</f>
        <v>2.2005351772772706E-2</v>
      </c>
      <c r="F108" s="1050">
        <f t="shared" si="56"/>
        <v>4.1520638761493958</v>
      </c>
      <c r="G108" s="147">
        <f>G109+G110</f>
        <v>3.19791202985575</v>
      </c>
      <c r="H108" s="148">
        <f>H109+H110</f>
        <v>2.9057425566468953E-2</v>
      </c>
      <c r="I108" s="149">
        <f>I109+I110</f>
        <v>0.92509442072717663</v>
      </c>
      <c r="J108" s="146">
        <f t="shared" si="57"/>
        <v>1.8680559345314256</v>
      </c>
      <c r="K108" s="147">
        <f t="shared" ref="K108:P108" si="66">K109+K110</f>
        <v>0.90098691352937865</v>
      </c>
      <c r="L108" s="148">
        <f t="shared" si="66"/>
        <v>0.72843631878976511</v>
      </c>
      <c r="M108" s="149">
        <f t="shared" si="66"/>
        <v>0.23863270221228172</v>
      </c>
      <c r="N108" s="1051">
        <f t="shared" si="66"/>
        <v>0</v>
      </c>
      <c r="O108" s="145">
        <f t="shared" si="66"/>
        <v>0</v>
      </c>
      <c r="P108" s="1050">
        <f t="shared" si="66"/>
        <v>0.35019655279619605</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6.3923217152497891</v>
      </c>
      <c r="E110" s="1052">
        <f>IFERROR($D110*E128/100, 0)</f>
        <v>2.2005351772772706E-2</v>
      </c>
      <c r="F110" s="1052">
        <f t="shared" si="56"/>
        <v>4.1520638761493958</v>
      </c>
      <c r="G110" s="360">
        <f t="shared" si="67"/>
        <v>3.19791202985575</v>
      </c>
      <c r="H110" s="361">
        <f t="shared" si="67"/>
        <v>2.9057425566468953E-2</v>
      </c>
      <c r="I110" s="362">
        <f t="shared" si="67"/>
        <v>0.92509442072717663</v>
      </c>
      <c r="J110" s="308">
        <f t="shared" si="57"/>
        <v>1.8680559345314256</v>
      </c>
      <c r="K110" s="360">
        <f t="shared" si="68"/>
        <v>0.90098691352937865</v>
      </c>
      <c r="L110" s="361">
        <f t="shared" si="68"/>
        <v>0.72843631878976511</v>
      </c>
      <c r="M110" s="362">
        <f t="shared" si="68"/>
        <v>0.23863270221228172</v>
      </c>
      <c r="N110" s="1053">
        <f t="shared" si="68"/>
        <v>0</v>
      </c>
      <c r="O110" s="359">
        <f t="shared" si="68"/>
        <v>0</v>
      </c>
      <c r="P110" s="1052">
        <f t="shared" si="68"/>
        <v>0.35019655279619605</v>
      </c>
    </row>
    <row r="111" spans="2:17" s="1" customFormat="1" x14ac:dyDescent="0.25">
      <c r="B111" s="499" t="s">
        <v>177</v>
      </c>
      <c r="C111" s="536" t="s">
        <v>39</v>
      </c>
      <c r="D111" s="1061">
        <f>D112+D113</f>
        <v>2.4949829931972789</v>
      </c>
      <c r="E111" s="1062">
        <f>E112+E113</f>
        <v>0.64354191692489549</v>
      </c>
      <c r="F111" s="1062">
        <f t="shared" si="56"/>
        <v>0.63630765068157658</v>
      </c>
      <c r="G111" s="1063">
        <f>G112+G113</f>
        <v>1.9760288046448814E-2</v>
      </c>
      <c r="H111" s="1064">
        <f>H112+H113</f>
        <v>6.5533185593053919E-2</v>
      </c>
      <c r="I111" s="1065">
        <f>I112+I113</f>
        <v>0.55101417704207389</v>
      </c>
      <c r="J111" s="1066">
        <f t="shared" si="57"/>
        <v>1.1514721014948925</v>
      </c>
      <c r="K111" s="1063">
        <f t="shared" ref="K111:P111" si="69">K112+K113</f>
        <v>1.008755665393491</v>
      </c>
      <c r="L111" s="1064">
        <f t="shared" si="69"/>
        <v>0.14180738131341902</v>
      </c>
      <c r="M111" s="1065">
        <f t="shared" si="69"/>
        <v>9.0905478798245518E-4</v>
      </c>
      <c r="N111" s="1067">
        <f t="shared" si="69"/>
        <v>0</v>
      </c>
      <c r="O111" s="1068">
        <f t="shared" si="69"/>
        <v>0</v>
      </c>
      <c r="P111" s="1062">
        <f t="shared" si="69"/>
        <v>6.3661324095914476E-2</v>
      </c>
      <c r="Q111" s="602"/>
    </row>
    <row r="112" spans="2:17" s="1" customFormat="1" x14ac:dyDescent="0.25">
      <c r="B112" s="1069" t="s">
        <v>648</v>
      </c>
      <c r="C112" s="545" t="s">
        <v>41</v>
      </c>
      <c r="D112" s="608">
        <v>2.4949829931972789</v>
      </c>
      <c r="E112" s="1052">
        <f>IFERROR($D112*E129/100, 0)</f>
        <v>0.64354191692489549</v>
      </c>
      <c r="F112" s="1052">
        <f t="shared" si="56"/>
        <v>0.63630765068157658</v>
      </c>
      <c r="G112" s="360">
        <f t="shared" ref="G112:I113" si="70">IFERROR($D112*G129/100, 0)</f>
        <v>1.9760288046448814E-2</v>
      </c>
      <c r="H112" s="361">
        <f t="shared" si="70"/>
        <v>6.5533185593053919E-2</v>
      </c>
      <c r="I112" s="362">
        <f t="shared" si="70"/>
        <v>0.55101417704207389</v>
      </c>
      <c r="J112" s="308">
        <f t="shared" si="57"/>
        <v>1.1514721014948925</v>
      </c>
      <c r="K112" s="360">
        <f t="shared" ref="K112:P113" si="71">IFERROR($D112*K129/100, 0)</f>
        <v>1.008755665393491</v>
      </c>
      <c r="L112" s="361">
        <f t="shared" si="71"/>
        <v>0.14180738131341902</v>
      </c>
      <c r="M112" s="362">
        <f t="shared" si="71"/>
        <v>9.0905478798245518E-4</v>
      </c>
      <c r="N112" s="1053">
        <f t="shared" si="71"/>
        <v>0</v>
      </c>
      <c r="O112" s="359">
        <f t="shared" si="71"/>
        <v>0</v>
      </c>
      <c r="P112" s="1052">
        <f t="shared" si="71"/>
        <v>6.3661324095914476E-2</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603</v>
      </c>
      <c r="D115" s="609">
        <v>0</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v>0</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100</v>
      </c>
      <c r="E119" s="716">
        <v>5.7404032465517972E-2</v>
      </c>
      <c r="F119" s="633">
        <f t="shared" ref="F119:F134" si="76">SUM(G119:I119)</f>
        <v>34.348507904533449</v>
      </c>
      <c r="G119" s="717">
        <v>1.0666796312008522</v>
      </c>
      <c r="H119" s="718">
        <v>3.537545306804283</v>
      </c>
      <c r="I119" s="720">
        <v>29.744282966528313</v>
      </c>
      <c r="J119" s="633">
        <f t="shared" ref="J119:J134" si="77">SUM(K119:M119)</f>
        <v>62.157587666409313</v>
      </c>
      <c r="K119" s="717">
        <v>54.453615180324974</v>
      </c>
      <c r="L119" s="718">
        <v>7.6549008215566161</v>
      </c>
      <c r="M119" s="720">
        <v>4.9071664527722159E-2</v>
      </c>
      <c r="N119" s="721">
        <v>0</v>
      </c>
      <c r="O119" s="1130">
        <v>0</v>
      </c>
      <c r="P119" s="723">
        <v>3.4365003965917205</v>
      </c>
      <c r="Q119" s="29"/>
    </row>
    <row r="120" spans="2:17" s="1" customFormat="1" x14ac:dyDescent="0.25">
      <c r="B120" s="380" t="s">
        <v>214</v>
      </c>
      <c r="C120" s="1119" t="s">
        <v>653</v>
      </c>
      <c r="D120" s="643">
        <f t="shared" si="75"/>
        <v>0</v>
      </c>
      <c r="E120" s="716">
        <v>0</v>
      </c>
      <c r="F120" s="645">
        <f t="shared" si="76"/>
        <v>0</v>
      </c>
      <c r="G120" s="724">
        <v>0</v>
      </c>
      <c r="H120" s="725">
        <v>0</v>
      </c>
      <c r="I120" s="727">
        <v>0</v>
      </c>
      <c r="J120" s="645">
        <f t="shared" si="77"/>
        <v>0</v>
      </c>
      <c r="K120" s="724">
        <v>0</v>
      </c>
      <c r="L120" s="725">
        <v>0</v>
      </c>
      <c r="M120" s="727">
        <v>0</v>
      </c>
      <c r="N120" s="728">
        <v>0</v>
      </c>
      <c r="O120" s="1131">
        <v>0</v>
      </c>
      <c r="P120" s="730">
        <v>0</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v>0</v>
      </c>
      <c r="O121" s="1131">
        <v>0</v>
      </c>
      <c r="P121" s="730">
        <v>0</v>
      </c>
    </row>
    <row r="122" spans="2:17" s="1" customFormat="1" x14ac:dyDescent="0.25">
      <c r="B122" s="382" t="s">
        <v>224</v>
      </c>
      <c r="C122" s="1119" t="s">
        <v>655</v>
      </c>
      <c r="D122" s="643">
        <f t="shared" si="75"/>
        <v>100</v>
      </c>
      <c r="E122" s="716">
        <v>3.1449298716186229E-2</v>
      </c>
      <c r="F122" s="645">
        <f t="shared" si="76"/>
        <v>64.032258756143875</v>
      </c>
      <c r="G122" s="724">
        <v>3.3203164556203215</v>
      </c>
      <c r="H122" s="725">
        <v>44.416278042528667</v>
      </c>
      <c r="I122" s="727">
        <v>16.295664257994879</v>
      </c>
      <c r="J122" s="645">
        <f t="shared" si="77"/>
        <v>34.053575298437025</v>
      </c>
      <c r="K122" s="724">
        <v>29.832886931958864</v>
      </c>
      <c r="L122" s="725">
        <v>4.1938040280449691</v>
      </c>
      <c r="M122" s="727">
        <v>2.6884338433190047E-2</v>
      </c>
      <c r="N122" s="728">
        <v>0</v>
      </c>
      <c r="O122" s="1131">
        <v>0</v>
      </c>
      <c r="P122" s="730">
        <v>1.8827166467029186</v>
      </c>
    </row>
    <row r="123" spans="2:17" s="1" customFormat="1" x14ac:dyDescent="0.25">
      <c r="B123" s="380" t="s">
        <v>656</v>
      </c>
      <c r="C123" s="1119" t="s">
        <v>657</v>
      </c>
      <c r="D123" s="643">
        <f t="shared" si="75"/>
        <v>100.00000000000001</v>
      </c>
      <c r="E123" s="716">
        <v>1.7604939136731061E-2</v>
      </c>
      <c r="F123" s="645">
        <f t="shared" si="76"/>
        <v>71.957164417419591</v>
      </c>
      <c r="G123" s="724">
        <v>61.750136514578188</v>
      </c>
      <c r="H123" s="725">
        <v>1.0849110619036726</v>
      </c>
      <c r="I123" s="727">
        <v>9.1221168409377249</v>
      </c>
      <c r="J123" s="645">
        <f t="shared" si="77"/>
        <v>26.971308510679044</v>
      </c>
      <c r="K123" s="724">
        <v>24.608617931231759</v>
      </c>
      <c r="L123" s="725">
        <v>2.3476410501678302</v>
      </c>
      <c r="M123" s="727">
        <v>1.5049529279455607E-2</v>
      </c>
      <c r="N123" s="728">
        <v>0</v>
      </c>
      <c r="O123" s="1131">
        <v>0</v>
      </c>
      <c r="P123" s="730">
        <v>1.0539221327646409</v>
      </c>
    </row>
    <row r="124" spans="2:17" s="1" customFormat="1" x14ac:dyDescent="0.25">
      <c r="B124" s="380" t="s">
        <v>658</v>
      </c>
      <c r="C124" s="1119" t="s">
        <v>659</v>
      </c>
      <c r="D124" s="643">
        <f t="shared" si="75"/>
        <v>100.00000000000001</v>
      </c>
      <c r="E124" s="716">
        <v>0</v>
      </c>
      <c r="F124" s="645">
        <f t="shared" si="76"/>
        <v>29.850219296126507</v>
      </c>
      <c r="G124" s="724">
        <v>0</v>
      </c>
      <c r="H124" s="725">
        <v>0</v>
      </c>
      <c r="I124" s="727">
        <v>29.850219296126507</v>
      </c>
      <c r="J124" s="645">
        <f t="shared" si="77"/>
        <v>70.149780703873503</v>
      </c>
      <c r="K124" s="724">
        <v>70.149780703873503</v>
      </c>
      <c r="L124" s="725">
        <v>0</v>
      </c>
      <c r="M124" s="727">
        <v>0</v>
      </c>
      <c r="N124" s="728">
        <v>0</v>
      </c>
      <c r="O124" s="1131">
        <v>0</v>
      </c>
      <c r="P124" s="730">
        <v>0</v>
      </c>
    </row>
    <row r="125" spans="2:17" s="1" customFormat="1" x14ac:dyDescent="0.25">
      <c r="B125" s="380" t="s">
        <v>660</v>
      </c>
      <c r="C125" s="1119" t="s">
        <v>661</v>
      </c>
      <c r="D125" s="643">
        <f t="shared" si="75"/>
        <v>100</v>
      </c>
      <c r="E125" s="716">
        <v>1.3668189471885603E-3</v>
      </c>
      <c r="F125" s="645">
        <f t="shared" si="76"/>
        <v>51.956424279931994</v>
      </c>
      <c r="G125" s="724">
        <v>9.5561859545141825</v>
      </c>
      <c r="H125" s="725">
        <v>24.416872480309625</v>
      </c>
      <c r="I125" s="727">
        <v>17.983365845108189</v>
      </c>
      <c r="J125" s="645">
        <f t="shared" si="77"/>
        <v>47.960384094528983</v>
      </c>
      <c r="K125" s="724">
        <v>1.2965680244866262</v>
      </c>
      <c r="L125" s="725">
        <v>46.66264764897565</v>
      </c>
      <c r="M125" s="727">
        <v>1.1684210667057397E-3</v>
      </c>
      <c r="N125" s="728">
        <v>0</v>
      </c>
      <c r="O125" s="1131">
        <v>0</v>
      </c>
      <c r="P125" s="730">
        <v>8.182480659183744E-2</v>
      </c>
    </row>
    <row r="126" spans="2:17" s="1" customFormat="1" x14ac:dyDescent="0.25">
      <c r="B126" s="382" t="s">
        <v>662</v>
      </c>
      <c r="C126" s="1119" t="s">
        <v>663</v>
      </c>
      <c r="D126" s="643">
        <f t="shared" si="75"/>
        <v>100</v>
      </c>
      <c r="E126" s="716">
        <v>0</v>
      </c>
      <c r="F126" s="645">
        <f t="shared" si="76"/>
        <v>79.607945319920063</v>
      </c>
      <c r="G126" s="724">
        <v>18.093872730796399</v>
      </c>
      <c r="H126" s="725">
        <v>1.8926224134380776</v>
      </c>
      <c r="I126" s="727">
        <v>59.621450175685588</v>
      </c>
      <c r="J126" s="645">
        <f t="shared" si="77"/>
        <v>12.385720744361418</v>
      </c>
      <c r="K126" s="724">
        <v>1.0535003207413085</v>
      </c>
      <c r="L126" s="725">
        <v>11.332220423620109</v>
      </c>
      <c r="M126" s="727">
        <v>0</v>
      </c>
      <c r="N126" s="728">
        <v>0</v>
      </c>
      <c r="O126" s="1131">
        <v>0</v>
      </c>
      <c r="P126" s="730">
        <v>8.0063339357185228</v>
      </c>
    </row>
    <row r="127" spans="2:17" s="1" customFormat="1" x14ac:dyDescent="0.25">
      <c r="B127" s="382" t="s">
        <v>664</v>
      </c>
      <c r="C127" s="1119" t="s">
        <v>665</v>
      </c>
      <c r="D127" s="643">
        <f t="shared" si="75"/>
        <v>100.00000000000001</v>
      </c>
      <c r="E127" s="716">
        <v>11.51189563803805</v>
      </c>
      <c r="F127" s="645">
        <f t="shared" si="76"/>
        <v>88.488104361961959</v>
      </c>
      <c r="G127" s="724">
        <v>19.668681736011038</v>
      </c>
      <c r="H127" s="725">
        <v>0</v>
      </c>
      <c r="I127" s="727">
        <v>68.819422625950921</v>
      </c>
      <c r="J127" s="645">
        <f t="shared" si="77"/>
        <v>0</v>
      </c>
      <c r="K127" s="724">
        <v>0</v>
      </c>
      <c r="L127" s="725">
        <v>0</v>
      </c>
      <c r="M127" s="727">
        <v>0</v>
      </c>
      <c r="N127" s="728">
        <v>0</v>
      </c>
      <c r="O127" s="1131">
        <v>0</v>
      </c>
      <c r="P127" s="730">
        <v>0</v>
      </c>
    </row>
    <row r="128" spans="2:17" s="1" customFormat="1" x14ac:dyDescent="0.25">
      <c r="B128" s="382" t="s">
        <v>666</v>
      </c>
      <c r="C128" s="1119" t="s">
        <v>667</v>
      </c>
      <c r="D128" s="643">
        <f t="shared" si="75"/>
        <v>100</v>
      </c>
      <c r="E128" s="716">
        <v>0.34424662513896664</v>
      </c>
      <c r="F128" s="645">
        <f t="shared" si="76"/>
        <v>64.953925367117535</v>
      </c>
      <c r="G128" s="724">
        <v>50.027394932684288</v>
      </c>
      <c r="H128" s="725">
        <v>0.45456763380898602</v>
      </c>
      <c r="I128" s="727">
        <v>14.471962800624269</v>
      </c>
      <c r="J128" s="645">
        <f t="shared" si="77"/>
        <v>29.223434266065073</v>
      </c>
      <c r="K128" s="724">
        <v>14.094830543023933</v>
      </c>
      <c r="L128" s="725">
        <v>11.395489013826964</v>
      </c>
      <c r="M128" s="727">
        <v>3.733114709214175</v>
      </c>
      <c r="N128" s="728">
        <v>0</v>
      </c>
      <c r="O128" s="1131">
        <v>0</v>
      </c>
      <c r="P128" s="730">
        <v>5.4783937416784356</v>
      </c>
    </row>
    <row r="129" spans="2:16" s="1" customFormat="1" x14ac:dyDescent="0.25">
      <c r="B129" s="382" t="s">
        <v>668</v>
      </c>
      <c r="C129" s="1119" t="s">
        <v>669</v>
      </c>
      <c r="D129" s="643">
        <f t="shared" si="75"/>
        <v>100</v>
      </c>
      <c r="E129" s="716">
        <v>25.793439020608606</v>
      </c>
      <c r="F129" s="645">
        <f t="shared" si="76"/>
        <v>25.503486493355172</v>
      </c>
      <c r="G129" s="724">
        <v>0.79200091144213913</v>
      </c>
      <c r="H129" s="725">
        <v>2.6265984887165201</v>
      </c>
      <c r="I129" s="727">
        <v>22.084887093196514</v>
      </c>
      <c r="J129" s="645">
        <f t="shared" si="77"/>
        <v>46.151501017620177</v>
      </c>
      <c r="K129" s="724">
        <v>40.431364387810419</v>
      </c>
      <c r="L129" s="725">
        <v>5.6837013198112123</v>
      </c>
      <c r="M129" s="727">
        <v>3.6435309998546994E-2</v>
      </c>
      <c r="N129" s="728">
        <v>0</v>
      </c>
      <c r="O129" s="1131">
        <v>0</v>
      </c>
      <c r="P129" s="730">
        <v>2.5515734684160534</v>
      </c>
    </row>
    <row r="130" spans="2:16" s="1" customFormat="1" x14ac:dyDescent="0.25">
      <c r="B130" s="380" t="s">
        <v>670</v>
      </c>
      <c r="C130" s="1119" t="s">
        <v>671</v>
      </c>
      <c r="D130" s="643">
        <f t="shared" si="75"/>
        <v>100.00000000000003</v>
      </c>
      <c r="E130" s="716">
        <v>1.837674267974742E-2</v>
      </c>
      <c r="F130" s="645">
        <f t="shared" si="76"/>
        <v>13.818641234515496</v>
      </c>
      <c r="G130" s="724">
        <v>0.34147596017894249</v>
      </c>
      <c r="H130" s="725">
        <v>1.1324737484276985</v>
      </c>
      <c r="I130" s="727">
        <v>12.344691525908855</v>
      </c>
      <c r="J130" s="645">
        <f t="shared" si="77"/>
        <v>85.062855763470111</v>
      </c>
      <c r="K130" s="724">
        <v>82.596584424890054</v>
      </c>
      <c r="L130" s="725">
        <v>2.450562035362819</v>
      </c>
      <c r="M130" s="727">
        <v>1.5709303217235265E-2</v>
      </c>
      <c r="N130" s="728">
        <v>0</v>
      </c>
      <c r="O130" s="1131">
        <v>0</v>
      </c>
      <c r="P130" s="730">
        <v>1.1001262593346657</v>
      </c>
    </row>
    <row r="131" spans="2:16" s="1" customFormat="1" x14ac:dyDescent="0.25">
      <c r="B131" s="382" t="s">
        <v>672</v>
      </c>
      <c r="C131" s="1119" t="s">
        <v>673</v>
      </c>
      <c r="D131" s="643">
        <f t="shared" si="75"/>
        <v>0</v>
      </c>
      <c r="E131" s="716">
        <v>0</v>
      </c>
      <c r="F131" s="645">
        <f t="shared" si="76"/>
        <v>0</v>
      </c>
      <c r="G131" s="724">
        <v>0</v>
      </c>
      <c r="H131" s="725">
        <v>0</v>
      </c>
      <c r="I131" s="727">
        <v>0</v>
      </c>
      <c r="J131" s="645">
        <f t="shared" si="77"/>
        <v>0</v>
      </c>
      <c r="K131" s="724">
        <v>0</v>
      </c>
      <c r="L131" s="725">
        <v>0</v>
      </c>
      <c r="M131" s="727">
        <v>0</v>
      </c>
      <c r="N131" s="728">
        <v>0</v>
      </c>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v>0</v>
      </c>
      <c r="O132" s="1132">
        <v>0</v>
      </c>
      <c r="P132" s="738">
        <v>0</v>
      </c>
    </row>
    <row r="133" spans="2:16" s="1" customFormat="1" ht="15.75" thickBot="1" x14ac:dyDescent="0.3">
      <c r="B133" s="1133" t="s">
        <v>676</v>
      </c>
      <c r="C133" s="1134" t="s">
        <v>677</v>
      </c>
      <c r="D133" s="741">
        <f t="shared" si="75"/>
        <v>0</v>
      </c>
      <c r="E133" s="742">
        <v>0</v>
      </c>
      <c r="F133" s="743">
        <f t="shared" si="76"/>
        <v>0</v>
      </c>
      <c r="G133" s="744">
        <v>0</v>
      </c>
      <c r="H133" s="745">
        <v>0</v>
      </c>
      <c r="I133" s="747">
        <v>0</v>
      </c>
      <c r="J133" s="743">
        <f t="shared" si="77"/>
        <v>0</v>
      </c>
      <c r="K133" s="744">
        <v>0</v>
      </c>
      <c r="L133" s="745">
        <v>0</v>
      </c>
      <c r="M133" s="747">
        <v>0</v>
      </c>
      <c r="N133" s="748">
        <v>0</v>
      </c>
      <c r="O133" s="1135">
        <v>0</v>
      </c>
      <c r="P133" s="750">
        <v>0</v>
      </c>
    </row>
    <row r="134" spans="2:16" s="1" customFormat="1" ht="26.25" thickBot="1" x14ac:dyDescent="0.3">
      <c r="B134" s="1136" t="s">
        <v>81</v>
      </c>
      <c r="C134" s="33" t="s">
        <v>678</v>
      </c>
      <c r="D134" s="753">
        <f t="shared" si="75"/>
        <v>99.999999999999972</v>
      </c>
      <c r="E134" s="754">
        <f>IFERROR(E96/$D$96*100, 0)</f>
        <v>4.6563874363868969</v>
      </c>
      <c r="F134" s="755">
        <f t="shared" si="76"/>
        <v>49.404405983911829</v>
      </c>
      <c r="G134" s="756">
        <f>IFERROR(G96/$D$96*100, 0)</f>
        <v>24.02936758150042</v>
      </c>
      <c r="H134" s="757">
        <f>IFERROR(H96/$D$96*100, 0)</f>
        <v>2.8226996034893417</v>
      </c>
      <c r="I134" s="759">
        <f>IFERROR(I96/$D$96*100, 0)</f>
        <v>22.552338798922072</v>
      </c>
      <c r="J134" s="755">
        <f t="shared" si="77"/>
        <v>41.668857476759435</v>
      </c>
      <c r="K134" s="756">
        <f t="shared" ref="K134:P134" si="78">IFERROR(K96/$D$96*100, 0)</f>
        <v>29.15055926277369</v>
      </c>
      <c r="L134" s="757">
        <f t="shared" si="78"/>
        <v>10.834149094297162</v>
      </c>
      <c r="M134" s="759">
        <f t="shared" si="78"/>
        <v>1.6841491196885827</v>
      </c>
      <c r="N134" s="755">
        <f t="shared" si="78"/>
        <v>0</v>
      </c>
      <c r="O134" s="755">
        <f t="shared" si="78"/>
        <v>0</v>
      </c>
      <c r="P134" s="755">
        <f t="shared" si="78"/>
        <v>4.2703491029418208</v>
      </c>
    </row>
  </sheetData>
  <sheetProtection algorithmName="SHA-512" hashValue="NPmOI2M3s5C3PDIqDUSctVgdElkquTo5OxF7g2252BtVOcQATeKscDzB+nheSFgF4ecNSSK8ltMqV2HaSf4efw==" saltValue="oa81EnDbTfwMOoYU1U7qt++ixClu4mo9Udpdtt2Pfuacp+JoEgjHR6TPbpwZit0kkGag0yNwHXrSVpKcWXWSs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tabSelected="1" zoomScaleNormal="100" workbookViewId="0">
      <selection activeCell="G14" sqref="G14"/>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59" t="s">
        <v>0</v>
      </c>
      <c r="B1" s="1360"/>
      <c r="C1" s="1360"/>
      <c r="D1" s="1360"/>
      <c r="E1" s="1360"/>
      <c r="F1" s="1361"/>
    </row>
    <row r="2" spans="1:7" s="1" customFormat="1" x14ac:dyDescent="0.25">
      <c r="A2" s="1359" t="s">
        <v>1</v>
      </c>
      <c r="B2" s="1360"/>
      <c r="C2" s="1360"/>
      <c r="D2" s="1360"/>
      <c r="E2" s="1360"/>
      <c r="F2" s="1361"/>
    </row>
    <row r="3" spans="1:7" s="1" customFormat="1" x14ac:dyDescent="0.25">
      <c r="A3" s="1362"/>
      <c r="B3" s="1363"/>
      <c r="C3" s="1363"/>
      <c r="D3" s="1363"/>
      <c r="E3" s="1363"/>
      <c r="F3" s="1364"/>
    </row>
    <row r="4" spans="1:7" s="1" customFormat="1" x14ac:dyDescent="0.25">
      <c r="A4" s="1138"/>
      <c r="B4" s="1138"/>
      <c r="C4" s="1138"/>
      <c r="D4" s="1138"/>
      <c r="E4" s="1138"/>
      <c r="F4" s="1139"/>
    </row>
    <row r="5" spans="1:7" s="1" customFormat="1" x14ac:dyDescent="0.25">
      <c r="A5" s="1365" t="s">
        <v>951</v>
      </c>
      <c r="B5" s="1366"/>
      <c r="C5" s="1366"/>
      <c r="D5" s="1366"/>
      <c r="E5" s="1366"/>
      <c r="F5" s="1367"/>
    </row>
    <row r="6" spans="1:7" s="1" customFormat="1" x14ac:dyDescent="0.25">
      <c r="A6" s="1138"/>
      <c r="B6" s="1138"/>
      <c r="C6" s="1138"/>
      <c r="D6" s="1138"/>
      <c r="E6" s="1138"/>
      <c r="F6" s="1139"/>
    </row>
    <row r="8" spans="1:7" s="1" customFormat="1" ht="15.75" thickBot="1" x14ac:dyDescent="0.3">
      <c r="B8" s="1276" t="s">
        <v>952</v>
      </c>
      <c r="C8" s="1276"/>
      <c r="D8" s="1276"/>
      <c r="E8" s="1276"/>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2910</v>
      </c>
      <c r="F11" s="1151"/>
      <c r="G11" s="1144"/>
    </row>
    <row r="12" spans="1:7" s="1" customFormat="1" x14ac:dyDescent="0.25">
      <c r="B12" s="1152" t="s">
        <v>102</v>
      </c>
      <c r="C12" s="1153" t="s">
        <v>957</v>
      </c>
      <c r="D12" s="1154" t="s">
        <v>956</v>
      </c>
      <c r="E12" s="1155">
        <v>1699</v>
      </c>
      <c r="F12" s="1151"/>
      <c r="G12" s="1144"/>
    </row>
    <row r="13" spans="1:7" s="1" customFormat="1" x14ac:dyDescent="0.25">
      <c r="B13" s="1152" t="s">
        <v>124</v>
      </c>
      <c r="C13" s="1153" t="s">
        <v>958</v>
      </c>
      <c r="D13" s="1153" t="s">
        <v>956</v>
      </c>
      <c r="E13" s="1155">
        <v>210</v>
      </c>
      <c r="F13" s="1151"/>
      <c r="G13" s="1144"/>
    </row>
    <row r="14" spans="1:7" s="1" customFormat="1" x14ac:dyDescent="0.25">
      <c r="B14" s="1152" t="s">
        <v>131</v>
      </c>
      <c r="C14" s="1153" t="s">
        <v>959</v>
      </c>
      <c r="D14" s="1153" t="s">
        <v>956</v>
      </c>
      <c r="E14" s="1155">
        <v>6771.5</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688</v>
      </c>
      <c r="F16" s="1156"/>
      <c r="G16" s="1144"/>
    </row>
    <row r="17" spans="2:7" s="1" customFormat="1" x14ac:dyDescent="0.25">
      <c r="B17" s="1157" t="s">
        <v>284</v>
      </c>
      <c r="C17" s="1158" t="s">
        <v>962</v>
      </c>
      <c r="D17" s="1158" t="s">
        <v>963</v>
      </c>
      <c r="E17" s="1159">
        <v>518</v>
      </c>
      <c r="F17" s="1156"/>
      <c r="G17" s="1144"/>
    </row>
    <row r="18" spans="2:7" s="1" customFormat="1" x14ac:dyDescent="0.25">
      <c r="B18" s="1157" t="s">
        <v>604</v>
      </c>
      <c r="C18" s="1158" t="s">
        <v>964</v>
      </c>
      <c r="D18" s="1158" t="s">
        <v>965</v>
      </c>
      <c r="E18" s="1159">
        <v>500</v>
      </c>
      <c r="F18" s="1156"/>
      <c r="G18" s="1144"/>
    </row>
    <row r="19" spans="2:7" s="1" customFormat="1" x14ac:dyDescent="0.25">
      <c r="B19" s="1157" t="s">
        <v>605</v>
      </c>
      <c r="C19" s="1158" t="s">
        <v>966</v>
      </c>
      <c r="D19" s="1158" t="s">
        <v>965</v>
      </c>
      <c r="E19" s="1159">
        <v>70</v>
      </c>
      <c r="F19" s="1156"/>
      <c r="G19" s="1144"/>
    </row>
    <row r="20" spans="2:7" s="1" customFormat="1" x14ac:dyDescent="0.25">
      <c r="B20" s="1157" t="s">
        <v>967</v>
      </c>
      <c r="C20" s="1158" t="s">
        <v>968</v>
      </c>
      <c r="D20" s="1160" t="s">
        <v>965</v>
      </c>
      <c r="E20" s="1159">
        <v>12</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300</v>
      </c>
      <c r="F25" s="1156"/>
      <c r="G25" s="1144"/>
    </row>
    <row r="26" spans="2:7" s="1" customFormat="1" x14ac:dyDescent="0.25">
      <c r="B26" s="1157" t="s">
        <v>977</v>
      </c>
      <c r="C26" s="1158" t="s">
        <v>978</v>
      </c>
      <c r="D26" s="1158" t="s">
        <v>976</v>
      </c>
      <c r="E26" s="1159">
        <v>0</v>
      </c>
      <c r="F26" s="1156"/>
      <c r="G26" s="1144"/>
    </row>
    <row r="27" spans="2:7" s="1" customFormat="1" x14ac:dyDescent="0.25">
      <c r="B27" s="1157" t="s">
        <v>979</v>
      </c>
      <c r="C27" s="1158" t="s">
        <v>980</v>
      </c>
      <c r="D27" s="1158" t="s">
        <v>976</v>
      </c>
      <c r="E27" s="1159">
        <v>0</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0</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23</v>
      </c>
      <c r="F32" s="1169"/>
      <c r="G32" s="1170"/>
    </row>
    <row r="33" spans="2:7" s="1" customFormat="1" x14ac:dyDescent="0.25">
      <c r="B33" s="1157" t="s">
        <v>141</v>
      </c>
      <c r="C33" s="1171" t="s">
        <v>989</v>
      </c>
      <c r="D33" s="1167" t="s">
        <v>916</v>
      </c>
      <c r="E33" s="1168">
        <v>44</v>
      </c>
      <c r="F33" s="1172"/>
      <c r="G33" s="1173"/>
    </row>
    <row r="34" spans="2:7" s="1" customFormat="1" ht="15.75" thickBot="1" x14ac:dyDescent="0.3">
      <c r="B34" s="1174" t="s">
        <v>302</v>
      </c>
      <c r="C34" s="1175" t="s">
        <v>990</v>
      </c>
      <c r="D34" s="1176" t="s">
        <v>991</v>
      </c>
      <c r="E34" s="1177">
        <v>100</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2</v>
      </c>
      <c r="F36" s="1180"/>
      <c r="G36" s="1181"/>
    </row>
    <row r="37" spans="2:7" s="1" customFormat="1" x14ac:dyDescent="0.25">
      <c r="B37" s="1157" t="s">
        <v>410</v>
      </c>
      <c r="C37" s="1171" t="s">
        <v>994</v>
      </c>
      <c r="D37" s="1158" t="s">
        <v>916</v>
      </c>
      <c r="E37" s="1168">
        <v>2</v>
      </c>
      <c r="F37" s="1172"/>
      <c r="G37" s="1172"/>
    </row>
    <row r="38" spans="2:7" s="1" customFormat="1" x14ac:dyDescent="0.25">
      <c r="B38" s="1182" t="s">
        <v>411</v>
      </c>
      <c r="C38" s="1178" t="s">
        <v>995</v>
      </c>
      <c r="D38" s="1153" t="s">
        <v>742</v>
      </c>
      <c r="E38" s="1155">
        <v>182.5</v>
      </c>
      <c r="F38" s="1180"/>
      <c r="G38" s="1183"/>
    </row>
    <row r="39" spans="2:7" s="1" customFormat="1" ht="25.5" x14ac:dyDescent="0.25">
      <c r="B39" s="1184" t="s">
        <v>996</v>
      </c>
      <c r="C39" s="1185" t="s">
        <v>997</v>
      </c>
      <c r="D39" s="1158" t="s">
        <v>742</v>
      </c>
      <c r="E39" s="1159">
        <v>182.5</v>
      </c>
      <c r="F39" s="1358"/>
      <c r="G39" s="1151"/>
    </row>
    <row r="40" spans="2:7" s="1" customFormat="1" x14ac:dyDescent="0.25">
      <c r="B40" s="1184" t="s">
        <v>998</v>
      </c>
      <c r="C40" s="1185" t="s">
        <v>999</v>
      </c>
      <c r="D40" s="1158" t="s">
        <v>742</v>
      </c>
      <c r="E40" s="1159">
        <v>0</v>
      </c>
      <c r="F40" s="1358"/>
      <c r="G40" s="1151"/>
    </row>
    <row r="41" spans="2:7" s="1" customFormat="1" ht="25.5" x14ac:dyDescent="0.25">
      <c r="B41" s="1184" t="s">
        <v>1000</v>
      </c>
      <c r="C41" s="1185" t="s">
        <v>1001</v>
      </c>
      <c r="D41" s="1158" t="s">
        <v>742</v>
      </c>
      <c r="E41" s="1159">
        <v>32.1</v>
      </c>
      <c r="F41" s="1358"/>
      <c r="G41" s="1151"/>
    </row>
    <row r="42" spans="2:7" s="1" customFormat="1" x14ac:dyDescent="0.25">
      <c r="B42" s="1157" t="s">
        <v>1002</v>
      </c>
      <c r="C42" s="1186" t="s">
        <v>1003</v>
      </c>
      <c r="D42" s="1158" t="s">
        <v>742</v>
      </c>
      <c r="E42" s="1159">
        <v>0</v>
      </c>
      <c r="F42" s="1187"/>
      <c r="G42" s="1151"/>
    </row>
    <row r="43" spans="2:7" s="1" customFormat="1" x14ac:dyDescent="0.25">
      <c r="B43" s="1152" t="s">
        <v>152</v>
      </c>
      <c r="C43" s="1188" t="s">
        <v>1004</v>
      </c>
      <c r="D43" s="1153" t="s">
        <v>742</v>
      </c>
      <c r="E43" s="1155">
        <v>219.5</v>
      </c>
      <c r="F43" s="1151"/>
      <c r="G43" s="1144"/>
    </row>
    <row r="44" spans="2:7" s="1" customFormat="1" x14ac:dyDescent="0.25">
      <c r="B44" s="1152" t="s">
        <v>160</v>
      </c>
      <c r="C44" s="1178" t="s">
        <v>1005</v>
      </c>
      <c r="D44" s="1153" t="s">
        <v>742</v>
      </c>
      <c r="E44" s="1155">
        <v>32.1</v>
      </c>
      <c r="F44" s="1151"/>
      <c r="G44" s="1144"/>
    </row>
    <row r="45" spans="2:7" s="1" customFormat="1" x14ac:dyDescent="0.25">
      <c r="B45" s="1157" t="s">
        <v>412</v>
      </c>
      <c r="C45" s="1171" t="s">
        <v>1006</v>
      </c>
      <c r="D45" s="1158" t="s">
        <v>916</v>
      </c>
      <c r="E45" s="1168">
        <v>1</v>
      </c>
      <c r="F45" s="1151"/>
      <c r="G45" s="1151"/>
    </row>
    <row r="46" spans="2:7" s="1" customFormat="1" x14ac:dyDescent="0.25">
      <c r="B46" s="1157" t="s">
        <v>1007</v>
      </c>
      <c r="C46" s="1171" t="s">
        <v>1008</v>
      </c>
      <c r="D46" s="1158" t="s">
        <v>916</v>
      </c>
      <c r="E46" s="1168">
        <v>1</v>
      </c>
      <c r="F46" s="1172"/>
      <c r="G46" s="1172"/>
    </row>
    <row r="47" spans="2:7" s="1" customFormat="1" x14ac:dyDescent="0.25">
      <c r="B47" s="1157" t="s">
        <v>1009</v>
      </c>
      <c r="C47" s="1189" t="s">
        <v>1010</v>
      </c>
      <c r="D47" s="1190" t="s">
        <v>742</v>
      </c>
      <c r="E47" s="1191">
        <v>32.1</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0</v>
      </c>
      <c r="F50" s="1172"/>
      <c r="G50" s="1172"/>
    </row>
    <row r="51" spans="2:7" s="1" customFormat="1" x14ac:dyDescent="0.25">
      <c r="B51" s="1152" t="s">
        <v>418</v>
      </c>
      <c r="C51" s="1178" t="s">
        <v>1015</v>
      </c>
      <c r="D51" s="1153" t="s">
        <v>916</v>
      </c>
      <c r="E51" s="1179">
        <v>1</v>
      </c>
      <c r="F51" s="1172"/>
      <c r="G51" s="1172"/>
    </row>
    <row r="52" spans="2:7" s="1" customFormat="1" x14ac:dyDescent="0.25">
      <c r="B52" s="1152" t="s">
        <v>419</v>
      </c>
      <c r="C52" s="1178" t="s">
        <v>1016</v>
      </c>
      <c r="D52" s="1153" t="s">
        <v>916</v>
      </c>
      <c r="E52" s="1179">
        <v>2</v>
      </c>
      <c r="F52" s="1192"/>
      <c r="G52" s="1192"/>
    </row>
    <row r="53" spans="2:7" s="1" customFormat="1" x14ac:dyDescent="0.25">
      <c r="B53" s="1152" t="s">
        <v>424</v>
      </c>
      <c r="C53" s="1178" t="s">
        <v>1017</v>
      </c>
      <c r="D53" s="1153" t="s">
        <v>916</v>
      </c>
      <c r="E53" s="1179">
        <v>0</v>
      </c>
      <c r="F53" s="1192"/>
      <c r="G53" s="1192"/>
    </row>
    <row r="54" spans="2:7" s="1" customFormat="1" x14ac:dyDescent="0.25">
      <c r="B54" s="1152" t="s">
        <v>428</v>
      </c>
      <c r="C54" s="1178" t="s">
        <v>1018</v>
      </c>
      <c r="D54" s="1158" t="s">
        <v>916</v>
      </c>
      <c r="E54" s="1168">
        <v>12</v>
      </c>
      <c r="F54" s="1192"/>
      <c r="G54" s="1192"/>
    </row>
    <row r="55" spans="2:7" s="1" customFormat="1" x14ac:dyDescent="0.25">
      <c r="B55" s="1182" t="s">
        <v>431</v>
      </c>
      <c r="C55" s="1178" t="s">
        <v>1019</v>
      </c>
      <c r="D55" s="1153" t="s">
        <v>916</v>
      </c>
      <c r="E55" s="1179">
        <v>1</v>
      </c>
      <c r="F55" s="1192"/>
      <c r="G55" s="1192"/>
    </row>
    <row r="56" spans="2:7" s="1" customFormat="1" ht="15.75" thickBot="1" x14ac:dyDescent="0.3">
      <c r="B56" s="1174" t="s">
        <v>446</v>
      </c>
      <c r="C56" s="1175" t="s">
        <v>748</v>
      </c>
      <c r="D56" s="1176" t="s">
        <v>736</v>
      </c>
      <c r="E56" s="1177">
        <v>90</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23</v>
      </c>
      <c r="F58" s="1151"/>
      <c r="G58" s="1151"/>
    </row>
    <row r="59" spans="2:7" s="1" customFormat="1" x14ac:dyDescent="0.25">
      <c r="B59" s="1157" t="s">
        <v>69</v>
      </c>
      <c r="C59" s="1158" t="s">
        <v>1022</v>
      </c>
      <c r="D59" s="1158" t="s">
        <v>916</v>
      </c>
      <c r="E59" s="1168">
        <v>1</v>
      </c>
      <c r="F59" s="1151"/>
      <c r="G59" s="1151"/>
    </row>
    <row r="60" spans="2:7" s="1" customFormat="1" x14ac:dyDescent="0.25">
      <c r="B60" s="1157" t="s">
        <v>71</v>
      </c>
      <c r="C60" s="1158" t="s">
        <v>1023</v>
      </c>
      <c r="D60" s="1158" t="s">
        <v>916</v>
      </c>
      <c r="E60" s="1168">
        <v>2</v>
      </c>
      <c r="F60" s="1151"/>
      <c r="G60" s="1151"/>
    </row>
    <row r="61" spans="2:7" s="1" customFormat="1" x14ac:dyDescent="0.25">
      <c r="B61" s="1152" t="s">
        <v>73</v>
      </c>
      <c r="C61" s="1153" t="s">
        <v>1024</v>
      </c>
      <c r="D61" s="1193" t="s">
        <v>736</v>
      </c>
      <c r="E61" s="1155">
        <v>15</v>
      </c>
      <c r="F61" s="1194"/>
      <c r="G61" s="1151"/>
    </row>
    <row r="62" spans="2:7" s="1" customFormat="1" x14ac:dyDescent="0.25">
      <c r="B62" s="1157" t="s">
        <v>75</v>
      </c>
      <c r="C62" s="1158" t="s">
        <v>1025</v>
      </c>
      <c r="D62" s="1195" t="s">
        <v>1026</v>
      </c>
      <c r="E62" s="1196">
        <f>SUM(E63:E64)</f>
        <v>131.6</v>
      </c>
      <c r="F62" s="1192"/>
      <c r="G62" s="1192"/>
    </row>
    <row r="63" spans="2:7" s="1" customFormat="1" x14ac:dyDescent="0.25">
      <c r="B63" s="1197" t="s">
        <v>801</v>
      </c>
      <c r="C63" s="1189" t="s">
        <v>1027</v>
      </c>
      <c r="D63" s="1190" t="s">
        <v>1026</v>
      </c>
      <c r="E63" s="1191">
        <v>32</v>
      </c>
      <c r="F63" s="1192"/>
      <c r="G63" s="1192"/>
    </row>
    <row r="64" spans="2:7" s="1" customFormat="1" x14ac:dyDescent="0.25">
      <c r="B64" s="1197" t="s">
        <v>1028</v>
      </c>
      <c r="C64" s="1189" t="s">
        <v>1029</v>
      </c>
      <c r="D64" s="1190" t="s">
        <v>1026</v>
      </c>
      <c r="E64" s="1191">
        <v>99.6</v>
      </c>
      <c r="F64" s="1151"/>
      <c r="G64" s="1151"/>
    </row>
    <row r="65" spans="2:7" s="1" customFormat="1" x14ac:dyDescent="0.25">
      <c r="B65" s="1157" t="s">
        <v>466</v>
      </c>
      <c r="C65" s="1158" t="s">
        <v>1030</v>
      </c>
      <c r="D65" s="1158" t="s">
        <v>916</v>
      </c>
      <c r="E65" s="1168">
        <v>0</v>
      </c>
      <c r="F65" s="1151"/>
      <c r="G65" s="1151"/>
    </row>
    <row r="66" spans="2:7" s="1" customFormat="1" x14ac:dyDescent="0.25">
      <c r="B66" s="1157" t="s">
        <v>470</v>
      </c>
      <c r="C66" s="1158" t="s">
        <v>1031</v>
      </c>
      <c r="D66" s="1158" t="s">
        <v>916</v>
      </c>
      <c r="E66" s="1168">
        <v>0</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0</v>
      </c>
      <c r="F68" s="1194"/>
      <c r="G68" s="1151"/>
    </row>
    <row r="69" spans="2:7" s="1" customFormat="1" x14ac:dyDescent="0.25">
      <c r="B69" s="1157" t="s">
        <v>494</v>
      </c>
      <c r="C69" s="1158" t="s">
        <v>1034</v>
      </c>
      <c r="D69" s="1158" t="s">
        <v>916</v>
      </c>
      <c r="E69" s="1198">
        <f>SUM(E70:E72)</f>
        <v>6946</v>
      </c>
      <c r="F69" s="1192"/>
      <c r="G69" s="1192"/>
    </row>
    <row r="70" spans="2:7" s="1" customFormat="1" x14ac:dyDescent="0.25">
      <c r="B70" s="1197" t="s">
        <v>1035</v>
      </c>
      <c r="C70" s="1189" t="s">
        <v>1036</v>
      </c>
      <c r="D70" s="1190" t="s">
        <v>916</v>
      </c>
      <c r="E70" s="1199">
        <v>4061</v>
      </c>
      <c r="F70" s="1192"/>
      <c r="G70" s="1192"/>
    </row>
    <row r="71" spans="2:7" s="1" customFormat="1" x14ac:dyDescent="0.25">
      <c r="B71" s="1197" t="s">
        <v>1037</v>
      </c>
      <c r="C71" s="1189" t="s">
        <v>1038</v>
      </c>
      <c r="D71" s="1190" t="s">
        <v>916</v>
      </c>
      <c r="E71" s="1199">
        <v>2448</v>
      </c>
      <c r="F71" s="1192"/>
      <c r="G71" s="1192"/>
    </row>
    <row r="72" spans="2:7" s="1" customFormat="1" x14ac:dyDescent="0.25">
      <c r="B72" s="1197" t="s">
        <v>1039</v>
      </c>
      <c r="C72" s="1189" t="s">
        <v>1040</v>
      </c>
      <c r="D72" s="1190" t="s">
        <v>916</v>
      </c>
      <c r="E72" s="1199">
        <v>437</v>
      </c>
      <c r="F72" s="1151"/>
      <c r="G72" s="1151"/>
    </row>
    <row r="73" spans="2:7" s="1" customFormat="1" x14ac:dyDescent="0.25">
      <c r="B73" s="1157" t="s">
        <v>495</v>
      </c>
      <c r="C73" s="1158" t="s">
        <v>1041</v>
      </c>
      <c r="D73" s="1158" t="s">
        <v>916</v>
      </c>
      <c r="E73" s="1168">
        <v>2448</v>
      </c>
      <c r="F73" s="1151"/>
      <c r="G73" s="1151"/>
    </row>
    <row r="74" spans="2:7" s="1" customFormat="1" ht="15.75" thickBot="1" x14ac:dyDescent="0.3">
      <c r="B74" s="1161" t="s">
        <v>631</v>
      </c>
      <c r="C74" s="1162" t="s">
        <v>1042</v>
      </c>
      <c r="D74" s="1162" t="s">
        <v>916</v>
      </c>
      <c r="E74" s="1200">
        <v>209</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5</v>
      </c>
      <c r="F76" s="1156"/>
      <c r="G76" s="1156"/>
    </row>
    <row r="77" spans="2:7" s="1" customFormat="1" x14ac:dyDescent="0.25">
      <c r="B77" s="1157" t="s">
        <v>171</v>
      </c>
      <c r="C77" s="1158" t="s">
        <v>1045</v>
      </c>
      <c r="D77" s="1158" t="s">
        <v>916</v>
      </c>
      <c r="E77" s="1168">
        <v>29</v>
      </c>
      <c r="F77" s="1156"/>
      <c r="G77" s="1156"/>
    </row>
    <row r="78" spans="2:7" s="1" customFormat="1" x14ac:dyDescent="0.25">
      <c r="B78" s="1157" t="s">
        <v>173</v>
      </c>
      <c r="C78" s="1158" t="s">
        <v>1046</v>
      </c>
      <c r="D78" s="1158" t="s">
        <v>916</v>
      </c>
      <c r="E78" s="1168">
        <v>57</v>
      </c>
      <c r="F78" s="1156"/>
      <c r="G78" s="1156"/>
    </row>
    <row r="79" spans="2:7" s="1" customFormat="1" x14ac:dyDescent="0.25">
      <c r="B79" s="1152" t="s">
        <v>175</v>
      </c>
      <c r="C79" s="1153" t="s">
        <v>1047</v>
      </c>
      <c r="D79" s="1193" t="s">
        <v>736</v>
      </c>
      <c r="E79" s="1155">
        <v>8</v>
      </c>
      <c r="F79" s="1156"/>
      <c r="G79" s="1156"/>
    </row>
    <row r="80" spans="2:7" s="1" customFormat="1" x14ac:dyDescent="0.25">
      <c r="B80" s="1157" t="s">
        <v>177</v>
      </c>
      <c r="C80" s="1158" t="s">
        <v>1048</v>
      </c>
      <c r="D80" s="1158" t="s">
        <v>1026</v>
      </c>
      <c r="E80" s="1159">
        <v>84.1</v>
      </c>
      <c r="F80" s="1202"/>
      <c r="G80" s="1202"/>
    </row>
    <row r="81" spans="2:7" s="1" customFormat="1" x14ac:dyDescent="0.25">
      <c r="B81" s="1197" t="s">
        <v>648</v>
      </c>
      <c r="C81" s="1189" t="s">
        <v>1049</v>
      </c>
      <c r="D81" s="1190" t="s">
        <v>1026</v>
      </c>
      <c r="E81" s="1191">
        <v>12</v>
      </c>
      <c r="F81" s="1156"/>
      <c r="G81" s="1156"/>
    </row>
    <row r="82" spans="2:7" s="1" customFormat="1" x14ac:dyDescent="0.25">
      <c r="B82" s="1157" t="s">
        <v>179</v>
      </c>
      <c r="C82" s="1158" t="s">
        <v>1050</v>
      </c>
      <c r="D82" s="1158" t="s">
        <v>916</v>
      </c>
      <c r="E82" s="1168">
        <v>0</v>
      </c>
      <c r="F82" s="1156"/>
      <c r="G82" s="1156"/>
    </row>
    <row r="83" spans="2:7" s="1" customFormat="1" x14ac:dyDescent="0.25">
      <c r="B83" s="1157" t="s">
        <v>181</v>
      </c>
      <c r="C83" s="1158" t="s">
        <v>1051</v>
      </c>
      <c r="D83" s="1158" t="s">
        <v>916</v>
      </c>
      <c r="E83" s="1198">
        <f>SUM(E84:E86)</f>
        <v>3554</v>
      </c>
      <c r="F83" s="1156"/>
      <c r="G83" s="1156"/>
    </row>
    <row r="84" spans="2:7" s="1" customFormat="1" x14ac:dyDescent="0.25">
      <c r="B84" s="1197" t="s">
        <v>513</v>
      </c>
      <c r="C84" s="1189" t="s">
        <v>1052</v>
      </c>
      <c r="D84" s="1190" t="s">
        <v>916</v>
      </c>
      <c r="E84" s="1199">
        <v>1837</v>
      </c>
      <c r="F84" s="1202"/>
      <c r="G84" s="1202"/>
    </row>
    <row r="85" spans="2:7" s="1" customFormat="1" x14ac:dyDescent="0.25">
      <c r="B85" s="1197" t="s">
        <v>514</v>
      </c>
      <c r="C85" s="1189" t="s">
        <v>1053</v>
      </c>
      <c r="D85" s="1190" t="s">
        <v>916</v>
      </c>
      <c r="E85" s="1199">
        <v>1567</v>
      </c>
      <c r="F85" s="1202"/>
      <c r="G85" s="1202"/>
    </row>
    <row r="86" spans="2:7" s="1" customFormat="1" x14ac:dyDescent="0.25">
      <c r="B86" s="1197" t="s">
        <v>515</v>
      </c>
      <c r="C86" s="1189" t="s">
        <v>1054</v>
      </c>
      <c r="D86" s="1190" t="s">
        <v>916</v>
      </c>
      <c r="E86" s="1199">
        <v>150</v>
      </c>
      <c r="F86" s="1156"/>
      <c r="G86" s="1156"/>
    </row>
    <row r="87" spans="2:7" s="1" customFormat="1" ht="15.75" thickBot="1" x14ac:dyDescent="0.3">
      <c r="B87" s="1161" t="s">
        <v>183</v>
      </c>
      <c r="C87" s="1162" t="s">
        <v>1055</v>
      </c>
      <c r="D87" s="1162" t="s">
        <v>916</v>
      </c>
      <c r="E87" s="1200">
        <v>35</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1</v>
      </c>
      <c r="F89" s="1156"/>
      <c r="G89" s="1156"/>
    </row>
    <row r="90" spans="2:7" s="1" customFormat="1" x14ac:dyDescent="0.25">
      <c r="B90" s="1157" t="s">
        <v>214</v>
      </c>
      <c r="C90" s="1158" t="s">
        <v>1058</v>
      </c>
      <c r="D90" s="1158" t="s">
        <v>916</v>
      </c>
      <c r="E90" s="1168">
        <v>0</v>
      </c>
      <c r="F90" s="1156"/>
      <c r="G90" s="1156"/>
    </row>
    <row r="91" spans="2:7" s="1" customFormat="1" x14ac:dyDescent="0.25">
      <c r="B91" s="1157" t="s">
        <v>222</v>
      </c>
      <c r="C91" s="1158" t="s">
        <v>1059</v>
      </c>
      <c r="D91" s="1158" t="s">
        <v>916</v>
      </c>
      <c r="E91" s="1168">
        <v>0</v>
      </c>
      <c r="F91" s="1156"/>
      <c r="G91" s="1156"/>
    </row>
    <row r="92" spans="2:7" s="1" customFormat="1" x14ac:dyDescent="0.25">
      <c r="B92" s="1157" t="s">
        <v>224</v>
      </c>
      <c r="C92" s="1153" t="s">
        <v>1060</v>
      </c>
      <c r="D92" s="1193" t="s">
        <v>736</v>
      </c>
      <c r="E92" s="1179">
        <v>0</v>
      </c>
      <c r="F92" s="1156"/>
      <c r="G92" s="1156"/>
    </row>
    <row r="93" spans="2:7" s="1" customFormat="1" x14ac:dyDescent="0.25">
      <c r="B93" s="1157" t="s">
        <v>656</v>
      </c>
      <c r="C93" s="1158" t="s">
        <v>1061</v>
      </c>
      <c r="D93" s="1158" t="s">
        <v>1026</v>
      </c>
      <c r="E93" s="1159">
        <v>25</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14</v>
      </c>
      <c r="F95" s="1156"/>
      <c r="G95" s="1156"/>
    </row>
    <row r="96" spans="2:7" s="1" customFormat="1" x14ac:dyDescent="0.25">
      <c r="B96" s="1157" t="s">
        <v>660</v>
      </c>
      <c r="C96" s="1158" t="s">
        <v>1064</v>
      </c>
      <c r="D96" s="1158" t="s">
        <v>916</v>
      </c>
      <c r="E96" s="1168">
        <v>54</v>
      </c>
      <c r="F96" s="1156"/>
      <c r="G96" s="1156"/>
    </row>
    <row r="97" spans="2:7" s="1" customFormat="1" ht="15.75" thickBot="1" x14ac:dyDescent="0.3">
      <c r="B97" s="1161" t="s">
        <v>662</v>
      </c>
      <c r="C97" s="1162" t="s">
        <v>1065</v>
      </c>
      <c r="D97" s="1162" t="s">
        <v>916</v>
      </c>
      <c r="E97" s="1200">
        <v>0</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0</v>
      </c>
      <c r="F99" s="1203"/>
      <c r="G99" s="1203"/>
    </row>
    <row r="100" spans="2:7" s="1" customFormat="1" x14ac:dyDescent="0.25">
      <c r="B100" s="1157" t="s">
        <v>85</v>
      </c>
      <c r="C100" s="1206" t="s">
        <v>1068</v>
      </c>
      <c r="D100" s="1158" t="s">
        <v>1069</v>
      </c>
      <c r="E100" s="1168">
        <v>0</v>
      </c>
      <c r="F100" s="1156"/>
      <c r="G100" s="1156"/>
    </row>
    <row r="101" spans="2:7" s="1" customFormat="1" x14ac:dyDescent="0.25">
      <c r="B101" s="1157" t="s">
        <v>1070</v>
      </c>
      <c r="C101" s="1207" t="s">
        <v>1071</v>
      </c>
      <c r="D101" s="1158" t="s">
        <v>742</v>
      </c>
      <c r="E101" s="1159">
        <v>0</v>
      </c>
      <c r="F101" s="1203"/>
      <c r="G101" s="1203"/>
    </row>
    <row r="102" spans="2:7" s="1" customFormat="1" x14ac:dyDescent="0.25">
      <c r="B102" s="1157" t="s">
        <v>1072</v>
      </c>
      <c r="C102" s="1206" t="s">
        <v>1073</v>
      </c>
      <c r="D102" s="1158" t="s">
        <v>916</v>
      </c>
      <c r="E102" s="1168">
        <v>0</v>
      </c>
      <c r="F102" s="1156"/>
      <c r="G102" s="1156"/>
    </row>
    <row r="103" spans="2:7" s="1" customFormat="1" x14ac:dyDescent="0.25">
      <c r="B103" s="1157" t="s">
        <v>1074</v>
      </c>
      <c r="C103" s="1207" t="s">
        <v>1075</v>
      </c>
      <c r="D103" s="1158" t="s">
        <v>742</v>
      </c>
      <c r="E103" s="1159">
        <v>0</v>
      </c>
      <c r="F103" s="1203"/>
      <c r="G103" s="1203"/>
    </row>
    <row r="104" spans="2:7" s="1" customFormat="1" x14ac:dyDescent="0.25">
      <c r="B104" s="1157" t="s">
        <v>1076</v>
      </c>
      <c r="C104" s="1206" t="s">
        <v>1077</v>
      </c>
      <c r="D104" s="1158" t="s">
        <v>916</v>
      </c>
      <c r="E104" s="1168">
        <v>2</v>
      </c>
      <c r="F104" s="1156"/>
      <c r="G104" s="1156"/>
    </row>
    <row r="105" spans="2:7" s="1" customFormat="1" x14ac:dyDescent="0.25">
      <c r="B105" s="1157" t="s">
        <v>1078</v>
      </c>
      <c r="C105" s="1207" t="s">
        <v>1079</v>
      </c>
      <c r="D105" s="1158" t="s">
        <v>742</v>
      </c>
      <c r="E105" s="1159">
        <v>639.1</v>
      </c>
      <c r="F105" s="1203"/>
      <c r="G105" s="1203"/>
    </row>
    <row r="106" spans="2:7" s="1" customFormat="1" x14ac:dyDescent="0.25">
      <c r="B106" s="1157" t="s">
        <v>1080</v>
      </c>
      <c r="C106" s="1206" t="s">
        <v>1081</v>
      </c>
      <c r="D106" s="1158" t="s">
        <v>916</v>
      </c>
      <c r="E106" s="1168">
        <v>3</v>
      </c>
      <c r="F106" s="1208"/>
      <c r="G106" s="1203"/>
    </row>
    <row r="107" spans="2:7" s="1" customFormat="1" x14ac:dyDescent="0.25">
      <c r="B107" s="1157" t="s">
        <v>1082</v>
      </c>
      <c r="C107" s="1207" t="s">
        <v>1083</v>
      </c>
      <c r="D107" s="1158" t="s">
        <v>742</v>
      </c>
      <c r="E107" s="1159">
        <v>639.1</v>
      </c>
      <c r="F107" s="1181"/>
      <c r="G107" s="1181"/>
    </row>
    <row r="108" spans="2:7" s="1" customFormat="1" x14ac:dyDescent="0.25">
      <c r="B108" s="1157" t="s">
        <v>1084</v>
      </c>
      <c r="C108" s="1207" t="s">
        <v>1085</v>
      </c>
      <c r="D108" s="1158" t="s">
        <v>916</v>
      </c>
      <c r="E108" s="1168">
        <v>14</v>
      </c>
      <c r="F108" s="1202"/>
      <c r="G108" s="1202"/>
    </row>
    <row r="109" spans="2:7" s="1" customFormat="1" x14ac:dyDescent="0.25">
      <c r="B109" s="1157" t="s">
        <v>1086</v>
      </c>
      <c r="C109" s="1207" t="s">
        <v>1087</v>
      </c>
      <c r="D109" s="1158" t="s">
        <v>916</v>
      </c>
      <c r="E109" s="1168">
        <v>26</v>
      </c>
      <c r="F109" s="1202"/>
      <c r="G109" s="1202"/>
    </row>
    <row r="110" spans="2:7" s="1" customFormat="1" x14ac:dyDescent="0.25">
      <c r="B110" s="1209" t="s">
        <v>1088</v>
      </c>
      <c r="C110" s="1210" t="s">
        <v>1089</v>
      </c>
      <c r="D110" s="1160" t="s">
        <v>916</v>
      </c>
      <c r="E110" s="1211">
        <v>1</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256.7</v>
      </c>
      <c r="F112" s="1203"/>
      <c r="G112" s="1203"/>
    </row>
    <row r="113" spans="2:7" s="1" customFormat="1" x14ac:dyDescent="0.25">
      <c r="B113" s="1157" t="s">
        <v>1094</v>
      </c>
      <c r="C113" s="1206" t="s">
        <v>1095</v>
      </c>
      <c r="D113" s="1158" t="s">
        <v>965</v>
      </c>
      <c r="E113" s="1159">
        <v>145.4</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42.1</v>
      </c>
      <c r="F115" s="1203"/>
      <c r="G115" s="1203"/>
    </row>
    <row r="116" spans="2:7" s="1" customFormat="1" x14ac:dyDescent="0.25">
      <c r="B116" s="1209" t="s">
        <v>1100</v>
      </c>
      <c r="C116" s="1218" t="s">
        <v>1101</v>
      </c>
      <c r="D116" s="1160" t="s">
        <v>965</v>
      </c>
      <c r="E116" s="1219">
        <v>6.7</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2.1</v>
      </c>
      <c r="F118" s="1203"/>
      <c r="G118" s="1203"/>
    </row>
    <row r="119" spans="2:7" s="1" customFormat="1" x14ac:dyDescent="0.25">
      <c r="B119" s="1157" t="s">
        <v>1106</v>
      </c>
      <c r="C119" s="1206" t="s">
        <v>1095</v>
      </c>
      <c r="D119" s="1158" t="s">
        <v>965</v>
      </c>
      <c r="E119" s="1159">
        <v>2.7</v>
      </c>
      <c r="F119" s="1203"/>
      <c r="G119" s="1203"/>
    </row>
    <row r="120" spans="2:7" s="1" customFormat="1" x14ac:dyDescent="0.25">
      <c r="B120" s="1157" t="s">
        <v>1107</v>
      </c>
      <c r="C120" s="1206" t="s">
        <v>1097</v>
      </c>
      <c r="D120" s="1158" t="s">
        <v>965</v>
      </c>
      <c r="E120" s="1159">
        <v>0</v>
      </c>
      <c r="F120" s="1203"/>
      <c r="G120" s="1203"/>
    </row>
    <row r="121" spans="2:7" s="1" customFormat="1" x14ac:dyDescent="0.25">
      <c r="B121" s="1157" t="s">
        <v>1108</v>
      </c>
      <c r="C121" s="1206" t="s">
        <v>1099</v>
      </c>
      <c r="D121" s="1158" t="s">
        <v>965</v>
      </c>
      <c r="E121" s="1159">
        <v>8.1999999999999993</v>
      </c>
      <c r="F121" s="1203"/>
      <c r="G121" s="1203"/>
    </row>
    <row r="122" spans="2:7" s="1" customFormat="1" x14ac:dyDescent="0.25">
      <c r="B122" s="1157" t="s">
        <v>1109</v>
      </c>
      <c r="C122" s="1206" t="s">
        <v>1101</v>
      </c>
      <c r="D122" s="1158" t="s">
        <v>965</v>
      </c>
      <c r="E122" s="1159">
        <v>0.9</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162.71486000000002</v>
      </c>
      <c r="F129" s="1156"/>
      <c r="G129" s="1156"/>
    </row>
    <row r="130" spans="2:7" s="1" customFormat="1" ht="15.75" thickBot="1" x14ac:dyDescent="0.3">
      <c r="B130" s="1224" t="s">
        <v>1123</v>
      </c>
      <c r="C130" s="1225" t="s">
        <v>1124</v>
      </c>
      <c r="D130" s="1162" t="s">
        <v>742</v>
      </c>
      <c r="E130" s="1226">
        <f>VAS077_F_Isvalytasbuiti1AtaskaitinisLaikotarpis</f>
        <v>639.1</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0</v>
      </c>
      <c r="F132" s="1156"/>
      <c r="G132" s="1156"/>
    </row>
    <row r="133" spans="2:7" s="1" customFormat="1" x14ac:dyDescent="0.25">
      <c r="B133" s="1157" t="s">
        <v>1128</v>
      </c>
      <c r="C133" s="1207" t="s">
        <v>1129</v>
      </c>
      <c r="D133" s="1158" t="s">
        <v>916</v>
      </c>
      <c r="E133" s="1168">
        <v>0</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1.5</v>
      </c>
      <c r="F136" s="1156"/>
      <c r="G136" s="1156"/>
    </row>
    <row r="137" spans="2:7" s="1" customFormat="1" x14ac:dyDescent="0.25">
      <c r="B137" s="1157" t="s">
        <v>1135</v>
      </c>
      <c r="C137" s="1206" t="s">
        <v>1095</v>
      </c>
      <c r="D137" s="1158" t="s">
        <v>965</v>
      </c>
      <c r="E137" s="1159">
        <v>4.8</v>
      </c>
      <c r="F137" s="1156"/>
      <c r="G137" s="1156"/>
    </row>
    <row r="138" spans="2:7" s="1" customFormat="1" x14ac:dyDescent="0.25">
      <c r="B138" s="1157" t="s">
        <v>1136</v>
      </c>
      <c r="C138" s="1206" t="s">
        <v>1137</v>
      </c>
      <c r="D138" s="1158" t="s">
        <v>965</v>
      </c>
      <c r="E138" s="1159">
        <v>0.9</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1.5</v>
      </c>
      <c r="F140" s="1156"/>
      <c r="G140" s="1156"/>
    </row>
    <row r="141" spans="2:7" s="1" customFormat="1" x14ac:dyDescent="0.25">
      <c r="B141" s="1157" t="s">
        <v>1141</v>
      </c>
      <c r="C141" s="1206" t="s">
        <v>1095</v>
      </c>
      <c r="D141" s="1158" t="s">
        <v>965</v>
      </c>
      <c r="E141" s="1159">
        <v>4.8</v>
      </c>
      <c r="F141" s="1156"/>
      <c r="G141" s="1156"/>
    </row>
    <row r="142" spans="2:7" s="1" customFormat="1" x14ac:dyDescent="0.25">
      <c r="B142" s="1209" t="s">
        <v>1142</v>
      </c>
      <c r="C142" s="1218" t="s">
        <v>1137</v>
      </c>
      <c r="D142" s="1160" t="s">
        <v>965</v>
      </c>
      <c r="E142" s="1219">
        <v>0.9</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3.6</v>
      </c>
      <c r="F146" s="1201"/>
      <c r="G146" s="1201"/>
    </row>
    <row r="147" spans="2:7" s="1" customFormat="1" x14ac:dyDescent="0.25">
      <c r="B147" s="1157" t="s">
        <v>1147</v>
      </c>
      <c r="C147" s="1234" t="s">
        <v>1148</v>
      </c>
      <c r="D147" s="1235" t="s">
        <v>904</v>
      </c>
      <c r="E147" s="1236">
        <v>0.97689999999999999</v>
      </c>
      <c r="F147" s="1201"/>
      <c r="G147" s="1201"/>
    </row>
    <row r="148" spans="2:7" s="1" customFormat="1" x14ac:dyDescent="0.25">
      <c r="B148" s="1157" t="s">
        <v>1149</v>
      </c>
      <c r="C148" s="1234" t="s">
        <v>1150</v>
      </c>
      <c r="D148" s="1158" t="s">
        <v>1151</v>
      </c>
      <c r="E148" s="1159">
        <v>0.1</v>
      </c>
      <c r="F148" s="1201"/>
      <c r="G148" s="1201"/>
    </row>
    <row r="149" spans="2:7" s="1" customFormat="1" ht="15.75" thickBot="1" x14ac:dyDescent="0.3">
      <c r="B149" s="1237" t="s">
        <v>1152</v>
      </c>
      <c r="C149" s="1238" t="s">
        <v>1153</v>
      </c>
      <c r="D149" s="1239" t="s">
        <v>916</v>
      </c>
      <c r="E149" s="1240">
        <v>1</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3.6</v>
      </c>
      <c r="F151" s="1202"/>
      <c r="G151" s="1202"/>
    </row>
    <row r="152" spans="2:7" s="1" customFormat="1" x14ac:dyDescent="0.25">
      <c r="B152" s="1157" t="s">
        <v>1158</v>
      </c>
      <c r="C152" s="1234" t="s">
        <v>1159</v>
      </c>
      <c r="D152" s="1235" t="s">
        <v>904</v>
      </c>
      <c r="E152" s="1236">
        <v>0.79</v>
      </c>
      <c r="F152" s="1156"/>
      <c r="G152" s="1156"/>
    </row>
    <row r="153" spans="2:7" s="1" customFormat="1" x14ac:dyDescent="0.25">
      <c r="B153" s="1216" t="s">
        <v>1160</v>
      </c>
      <c r="C153" s="1245" t="s">
        <v>1161</v>
      </c>
      <c r="D153" s="1239" t="s">
        <v>1151</v>
      </c>
      <c r="E153" s="1159">
        <v>0.1</v>
      </c>
      <c r="F153" s="1156"/>
      <c r="G153" s="1156"/>
    </row>
    <row r="154" spans="2:7" s="1" customFormat="1" ht="15.75" thickBot="1" x14ac:dyDescent="0.3">
      <c r="B154" s="1209" t="s">
        <v>1162</v>
      </c>
      <c r="C154" s="1246" t="s">
        <v>1163</v>
      </c>
      <c r="D154" s="1160" t="s">
        <v>916</v>
      </c>
      <c r="E154" s="1211">
        <v>3</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159">
        <v>0</v>
      </c>
      <c r="F158" s="1156"/>
      <c r="G158" s="1156"/>
    </row>
    <row r="159" spans="2:7" s="1" customFormat="1" ht="15.75" thickBot="1" x14ac:dyDescent="0.3">
      <c r="B159" s="1209" t="s">
        <v>1172</v>
      </c>
      <c r="C159" s="1246" t="s">
        <v>1173</v>
      </c>
      <c r="D159" s="1160" t="s">
        <v>916</v>
      </c>
      <c r="E159" s="1211">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159">
        <v>0</v>
      </c>
      <c r="F168" s="1156"/>
      <c r="G168" s="1156"/>
    </row>
    <row r="169" spans="2:7" s="1" customFormat="1" ht="15.75" thickBot="1" x14ac:dyDescent="0.3">
      <c r="B169" s="1209" t="s">
        <v>1193</v>
      </c>
      <c r="C169" s="1246" t="s">
        <v>1194</v>
      </c>
      <c r="D169" s="1160" t="s">
        <v>916</v>
      </c>
      <c r="E169" s="1211">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0</v>
      </c>
      <c r="F171" s="1156"/>
      <c r="G171" s="1156"/>
    </row>
    <row r="172" spans="2:7" s="1" customFormat="1" x14ac:dyDescent="0.25">
      <c r="B172" s="1157" t="s">
        <v>1199</v>
      </c>
      <c r="C172" s="1254" t="s">
        <v>1200</v>
      </c>
      <c r="D172" s="1235" t="s">
        <v>904</v>
      </c>
      <c r="E172" s="1236">
        <v>0</v>
      </c>
      <c r="F172" s="1156"/>
      <c r="G172" s="1156"/>
    </row>
    <row r="173" spans="2:7" s="1" customFormat="1" x14ac:dyDescent="0.25">
      <c r="B173" s="1157" t="s">
        <v>1201</v>
      </c>
      <c r="C173" s="1254" t="s">
        <v>1202</v>
      </c>
      <c r="D173" s="1195" t="s">
        <v>1151</v>
      </c>
      <c r="E173" s="1159">
        <v>0</v>
      </c>
      <c r="F173" s="1156"/>
      <c r="G173" s="1156"/>
    </row>
    <row r="174" spans="2:7" s="1" customFormat="1" x14ac:dyDescent="0.25">
      <c r="B174" s="1157" t="s">
        <v>1203</v>
      </c>
      <c r="C174" s="1255" t="s">
        <v>1204</v>
      </c>
      <c r="D174" s="1239" t="s">
        <v>1151</v>
      </c>
      <c r="E174" s="1159">
        <v>0</v>
      </c>
      <c r="F174" s="1156"/>
      <c r="G174" s="1156"/>
    </row>
    <row r="175" spans="2:7" s="1" customFormat="1" ht="15.75" thickBot="1" x14ac:dyDescent="0.3">
      <c r="B175" s="1209" t="s">
        <v>1205</v>
      </c>
      <c r="C175" s="1246" t="s">
        <v>1153</v>
      </c>
      <c r="D175" s="1160" t="s">
        <v>916</v>
      </c>
      <c r="E175" s="1211">
        <v>0</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v>
      </c>
      <c r="F178" s="1156"/>
      <c r="G178" s="1156"/>
    </row>
    <row r="179" spans="2:7" s="1" customFormat="1" x14ac:dyDescent="0.25">
      <c r="B179" s="1256" t="s">
        <v>1212</v>
      </c>
      <c r="C179" s="1254" t="s">
        <v>1213</v>
      </c>
      <c r="D179" s="1195" t="s">
        <v>1151</v>
      </c>
      <c r="E179" s="1159">
        <v>0</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0</v>
      </c>
      <c r="F182" s="1156"/>
      <c r="G182" s="1156"/>
    </row>
    <row r="183" spans="2:7" s="1" customFormat="1" ht="15.75" thickBot="1" x14ac:dyDescent="0.3">
      <c r="B183" s="1161" t="s">
        <v>1219</v>
      </c>
      <c r="C183" s="1257" t="s">
        <v>1153</v>
      </c>
      <c r="D183" s="1162" t="s">
        <v>916</v>
      </c>
      <c r="E183" s="1200">
        <v>0</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16</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2</v>
      </c>
      <c r="F187" s="1203"/>
      <c r="G187" s="1203"/>
    </row>
    <row r="188" spans="2:7" s="1" customFormat="1" x14ac:dyDescent="0.25">
      <c r="B188" s="1157" t="s">
        <v>1227</v>
      </c>
      <c r="C188" s="1171" t="s">
        <v>1228</v>
      </c>
      <c r="D188" s="1262" t="s">
        <v>916</v>
      </c>
      <c r="E188" s="1168">
        <v>2</v>
      </c>
      <c r="F188" s="1203"/>
      <c r="G188" s="1203"/>
    </row>
    <row r="189" spans="2:7" s="1" customFormat="1" x14ac:dyDescent="0.25">
      <c r="B189" s="1157" t="s">
        <v>1229</v>
      </c>
      <c r="C189" s="1171" t="s">
        <v>1230</v>
      </c>
      <c r="D189" s="1262" t="s">
        <v>916</v>
      </c>
      <c r="E189" s="1168">
        <v>7</v>
      </c>
      <c r="F189" s="1203"/>
      <c r="G189" s="1203"/>
    </row>
    <row r="190" spans="2:7" s="1" customFormat="1" x14ac:dyDescent="0.25">
      <c r="B190" s="1157" t="s">
        <v>1231</v>
      </c>
      <c r="C190" s="1171" t="s">
        <v>1232</v>
      </c>
      <c r="D190" s="1262" t="s">
        <v>916</v>
      </c>
      <c r="E190" s="1198">
        <f>SUM(E191:E195)</f>
        <v>5</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0</v>
      </c>
      <c r="F192" s="1203"/>
      <c r="G192" s="1203"/>
    </row>
    <row r="193" spans="2:7" s="1" customFormat="1" x14ac:dyDescent="0.25">
      <c r="B193" s="1197" t="s">
        <v>1237</v>
      </c>
      <c r="C193" s="1189" t="s">
        <v>1238</v>
      </c>
      <c r="D193" s="1235" t="s">
        <v>916</v>
      </c>
      <c r="E193" s="1199">
        <v>2</v>
      </c>
      <c r="F193" s="1203"/>
      <c r="G193" s="1203"/>
    </row>
    <row r="194" spans="2:7" s="1" customFormat="1" x14ac:dyDescent="0.25">
      <c r="B194" s="1197" t="s">
        <v>1239</v>
      </c>
      <c r="C194" s="1189" t="s">
        <v>1240</v>
      </c>
      <c r="D194" s="1235" t="s">
        <v>916</v>
      </c>
      <c r="E194" s="1199">
        <v>2</v>
      </c>
      <c r="F194" s="1203"/>
      <c r="G194" s="1203"/>
    </row>
    <row r="195" spans="2:7" s="1" customFormat="1" ht="15.75" thickBot="1" x14ac:dyDescent="0.3">
      <c r="B195" s="1263" t="s">
        <v>1241</v>
      </c>
      <c r="C195" s="1264" t="s">
        <v>1242</v>
      </c>
      <c r="D195" s="1265" t="s">
        <v>916</v>
      </c>
      <c r="E195" s="1266">
        <v>1</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t8+s2XLs3y2VbTP2/cVGkrmT/3VBHgXw0pXf8hIimU7IsIDLCc0IcE1oj956Hx5GkS5tbLvz0hR+PnztEz8cug==" saltValue="KZrVIyzUVWL0zde3BMbnlq1mt7NjI0rg6qZi8NALuGcpOQesCjtbF+lDYXu4OorMiExnlVscRfJ1ySqqqUQ80w=="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zoomScale="93" zoomScaleNormal="93" workbookViewId="0">
      <selection activeCell="D19" sqref="D19:D31"/>
    </sheetView>
  </sheetViews>
  <sheetFormatPr defaultColWidth="9.140625"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89" t="s">
        <v>0</v>
      </c>
      <c r="B1" s="1290"/>
      <c r="C1" s="1290"/>
      <c r="D1" s="1291"/>
    </row>
    <row r="2" spans="1:4" s="1" customFormat="1" x14ac:dyDescent="0.25">
      <c r="A2" s="1289" t="s">
        <v>1</v>
      </c>
      <c r="B2" s="1290"/>
      <c r="C2" s="1290"/>
      <c r="D2" s="1291"/>
    </row>
    <row r="3" spans="1:4" s="1" customFormat="1" x14ac:dyDescent="0.25">
      <c r="A3" s="1292"/>
      <c r="B3" s="1293"/>
      <c r="C3" s="1293"/>
      <c r="D3" s="1294"/>
    </row>
    <row r="4" spans="1:4" s="1" customFormat="1" x14ac:dyDescent="0.25">
      <c r="A4" s="32"/>
      <c r="B4" s="32"/>
      <c r="C4" s="32"/>
      <c r="D4" s="32"/>
    </row>
    <row r="5" spans="1:4" s="1" customFormat="1" x14ac:dyDescent="0.25">
      <c r="A5" s="1295" t="s">
        <v>44</v>
      </c>
      <c r="B5" s="1296"/>
      <c r="C5" s="1296"/>
      <c r="D5" s="1297"/>
    </row>
    <row r="6" spans="1:4" s="1" customFormat="1" x14ac:dyDescent="0.25">
      <c r="A6" s="1287" t="s">
        <v>45</v>
      </c>
      <c r="B6" s="1288"/>
      <c r="C6" s="1288"/>
      <c r="D6" s="1288"/>
    </row>
    <row r="7" spans="1:4" s="1" customFormat="1" x14ac:dyDescent="0.25">
      <c r="A7" s="1288"/>
      <c r="B7" s="1288"/>
      <c r="C7" s="1288"/>
      <c r="D7" s="1288"/>
    </row>
    <row r="8" spans="1:4" s="1" customFormat="1" x14ac:dyDescent="0.25">
      <c r="A8" s="32"/>
      <c r="B8" s="32"/>
      <c r="C8" s="32"/>
      <c r="D8" s="32"/>
    </row>
    <row r="9" spans="1:4" s="1" customFormat="1" ht="48.75" customHeight="1" thickBot="1" x14ac:dyDescent="0.3">
      <c r="B9" s="1286" t="s">
        <v>46</v>
      </c>
      <c r="C9" s="1286"/>
      <c r="D9" s="1286"/>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10358.768</v>
      </c>
    </row>
    <row r="13" spans="1:4" s="1" customFormat="1" x14ac:dyDescent="0.25">
      <c r="B13" s="39" t="s">
        <v>53</v>
      </c>
      <c r="C13" s="39" t="s">
        <v>54</v>
      </c>
      <c r="D13" s="38">
        <v>173.851</v>
      </c>
    </row>
    <row r="14" spans="1:4" s="1" customFormat="1" ht="17.25" customHeight="1" x14ac:dyDescent="0.25">
      <c r="B14" s="39" t="s">
        <v>55</v>
      </c>
      <c r="C14" s="39" t="s">
        <v>56</v>
      </c>
      <c r="D14" s="38">
        <v>90.245000000000005</v>
      </c>
    </row>
    <row r="15" spans="1:4" s="1" customFormat="1" x14ac:dyDescent="0.25">
      <c r="B15" s="39" t="s">
        <v>57</v>
      </c>
      <c r="C15" s="39" t="s">
        <v>58</v>
      </c>
      <c r="D15" s="38">
        <v>87.766999999999996</v>
      </c>
    </row>
    <row r="16" spans="1:4" s="1" customFormat="1" ht="20.25" customHeight="1" thickBot="1" x14ac:dyDescent="0.3">
      <c r="B16" s="40" t="s">
        <v>59</v>
      </c>
      <c r="C16" s="40" t="s">
        <v>60</v>
      </c>
      <c r="D16" s="38">
        <v>1.0049999999999999</v>
      </c>
    </row>
    <row r="17" spans="2:5" s="1" customFormat="1" ht="16.5" thickTop="1" thickBot="1" x14ac:dyDescent="0.3">
      <c r="B17" s="41"/>
      <c r="C17" s="41" t="s">
        <v>61</v>
      </c>
      <c r="D17" s="42">
        <f>SUM(D12:D13,D16)</f>
        <v>10533.624</v>
      </c>
      <c r="E17" s="43"/>
    </row>
    <row r="18" spans="2:5" s="1" customFormat="1" ht="15.75" thickBot="1" x14ac:dyDescent="0.3">
      <c r="B18" s="33"/>
      <c r="C18" s="33" t="s">
        <v>62</v>
      </c>
      <c r="D18" s="44"/>
    </row>
    <row r="19" spans="2:5" s="1" customFormat="1" x14ac:dyDescent="0.25">
      <c r="B19" s="37" t="s">
        <v>63</v>
      </c>
      <c r="C19" s="37" t="s">
        <v>64</v>
      </c>
      <c r="D19" s="38">
        <v>2903.4651400000002</v>
      </c>
    </row>
    <row r="20" spans="2:5" s="1" customFormat="1" x14ac:dyDescent="0.25">
      <c r="B20" s="39" t="s">
        <v>65</v>
      </c>
      <c r="C20" s="39" t="s">
        <v>66</v>
      </c>
      <c r="D20" s="38">
        <v>4098.1773400000002</v>
      </c>
    </row>
    <row r="21" spans="2:5" s="1" customFormat="1" ht="21" customHeight="1" x14ac:dyDescent="0.25">
      <c r="B21" s="39" t="s">
        <v>67</v>
      </c>
      <c r="C21" s="39" t="s">
        <v>68</v>
      </c>
      <c r="D21" s="38">
        <v>4098.1773400000002</v>
      </c>
    </row>
    <row r="22" spans="2:5" s="1" customFormat="1" x14ac:dyDescent="0.25">
      <c r="B22" s="39" t="s">
        <v>69</v>
      </c>
      <c r="C22" s="39" t="s">
        <v>70</v>
      </c>
      <c r="D22" s="38">
        <v>0</v>
      </c>
    </row>
    <row r="23" spans="2:5" s="1" customFormat="1" x14ac:dyDescent="0.25">
      <c r="B23" s="39" t="s">
        <v>71</v>
      </c>
      <c r="C23" s="39" t="s">
        <v>72</v>
      </c>
      <c r="D23" s="38">
        <v>0</v>
      </c>
    </row>
    <row r="24" spans="2:5" s="1" customFormat="1" x14ac:dyDescent="0.25">
      <c r="B24" s="39" t="s">
        <v>73</v>
      </c>
      <c r="C24" s="39" t="s">
        <v>74</v>
      </c>
      <c r="D24" s="38">
        <v>0</v>
      </c>
    </row>
    <row r="25" spans="2:5" s="1" customFormat="1" x14ac:dyDescent="0.25">
      <c r="B25" s="39" t="s">
        <v>75</v>
      </c>
      <c r="C25" s="39" t="s">
        <v>76</v>
      </c>
      <c r="D25" s="38">
        <v>-1194.7121999999999</v>
      </c>
    </row>
    <row r="26" spans="2:5" s="1" customFormat="1" x14ac:dyDescent="0.25">
      <c r="B26" s="39" t="s">
        <v>77</v>
      </c>
      <c r="C26" s="39" t="s">
        <v>78</v>
      </c>
      <c r="D26" s="38">
        <v>6732.7629999999999</v>
      </c>
    </row>
    <row r="27" spans="2:5" s="1" customFormat="1" x14ac:dyDescent="0.25">
      <c r="B27" s="39" t="s">
        <v>79</v>
      </c>
      <c r="C27" s="39" t="s">
        <v>80</v>
      </c>
      <c r="D27" s="38">
        <v>0</v>
      </c>
    </row>
    <row r="28" spans="2:5" s="1" customFormat="1" ht="16.5" customHeight="1" x14ac:dyDescent="0.25">
      <c r="B28" s="39" t="s">
        <v>81</v>
      </c>
      <c r="C28" s="39" t="s">
        <v>82</v>
      </c>
      <c r="D28" s="38">
        <v>891.16111999999998</v>
      </c>
    </row>
    <row r="29" spans="2:5" s="1" customFormat="1" ht="25.5" customHeight="1" x14ac:dyDescent="0.25">
      <c r="B29" s="39" t="s">
        <v>83</v>
      </c>
      <c r="C29" s="39" t="s">
        <v>84</v>
      </c>
      <c r="D29" s="38">
        <v>762.10511999999994</v>
      </c>
    </row>
    <row r="30" spans="2:5" s="1" customFormat="1" ht="26.25" customHeight="1" x14ac:dyDescent="0.25">
      <c r="B30" s="39" t="s">
        <v>85</v>
      </c>
      <c r="C30" s="39" t="s">
        <v>86</v>
      </c>
      <c r="D30" s="38">
        <v>129.05600000000001</v>
      </c>
    </row>
    <row r="31" spans="2:5" s="1" customFormat="1" ht="27" customHeight="1" thickBot="1" x14ac:dyDescent="0.3">
      <c r="B31" s="40" t="s">
        <v>87</v>
      </c>
      <c r="C31" s="40" t="s">
        <v>88</v>
      </c>
      <c r="D31" s="38">
        <v>6.2350000000000003</v>
      </c>
    </row>
    <row r="32" spans="2:5" s="1" customFormat="1" ht="21" customHeight="1" thickTop="1" thickBot="1" x14ac:dyDescent="0.3">
      <c r="B32" s="41"/>
      <c r="C32" s="41" t="s">
        <v>89</v>
      </c>
      <c r="D32" s="42">
        <f>SUM(D19,D26:D28,D31)</f>
        <v>10533.624260000001</v>
      </c>
      <c r="E32" s="43"/>
    </row>
  </sheetData>
  <sheetProtection algorithmName="SHA-512" hashValue="V9I6wjoju1btdhzucFkmPAmohbClYqdM47mxrn7p82gt8T4DkXiG4eZnpPxSAkCoo1JLAAmtIIDzxGMo760q/A==" saltValue="1E7n7AjsQk8kll/YRNglemBqJ8N+3mxB8+cU7dQfvg+Vprb9nrKv4vSN3t7YWkT8PvsjZfR24mAD/ZDw1mzw9Q=="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9"/>
  <sheetViews>
    <sheetView topLeftCell="A5" zoomScale="112" zoomScaleNormal="112" workbookViewId="0">
      <selection activeCell="D86" sqref="D86:D87"/>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8" t="s">
        <v>0</v>
      </c>
      <c r="B1" s="1299"/>
      <c r="C1" s="1299"/>
      <c r="D1" s="1299"/>
      <c r="E1" s="1299"/>
      <c r="F1" s="1299"/>
      <c r="G1" s="1299"/>
      <c r="H1" s="1299"/>
      <c r="I1" s="1299"/>
      <c r="J1" s="1299"/>
      <c r="K1" s="1299"/>
      <c r="L1" s="1300"/>
    </row>
    <row r="2" spans="1:12" s="1" customFormat="1" x14ac:dyDescent="0.25">
      <c r="A2" s="1298" t="s">
        <v>1</v>
      </c>
      <c r="B2" s="1299"/>
      <c r="C2" s="1299"/>
      <c r="D2" s="1299"/>
      <c r="E2" s="1299"/>
      <c r="F2" s="1299"/>
      <c r="G2" s="1299"/>
      <c r="H2" s="1299"/>
      <c r="I2" s="1299"/>
      <c r="J2" s="1299"/>
      <c r="K2" s="1299"/>
      <c r="L2" s="1300"/>
    </row>
    <row r="3" spans="1:12" s="1" customFormat="1" x14ac:dyDescent="0.25">
      <c r="A3" s="1301"/>
      <c r="B3" s="1302"/>
      <c r="C3" s="1302"/>
      <c r="D3" s="1302"/>
      <c r="E3" s="1302"/>
      <c r="F3" s="1302"/>
      <c r="G3" s="1302"/>
      <c r="H3" s="1302"/>
      <c r="I3" s="1302"/>
      <c r="J3" s="1302"/>
      <c r="K3" s="1302"/>
      <c r="L3" s="1303"/>
    </row>
    <row r="4" spans="1:12" s="1" customFormat="1" x14ac:dyDescent="0.25">
      <c r="A4" s="47"/>
      <c r="B4" s="47"/>
      <c r="C4" s="47"/>
      <c r="D4" s="47"/>
      <c r="E4" s="47"/>
      <c r="F4" s="47"/>
      <c r="G4" s="48"/>
      <c r="H4" s="48"/>
      <c r="I4" s="47"/>
      <c r="J4" s="47"/>
      <c r="K4" s="47"/>
      <c r="L4" s="47"/>
    </row>
    <row r="5" spans="1:12" s="1" customFormat="1" x14ac:dyDescent="0.25">
      <c r="A5" s="1304" t="s">
        <v>90</v>
      </c>
      <c r="B5" s="1305"/>
      <c r="C5" s="1305"/>
      <c r="D5" s="1305"/>
      <c r="E5" s="1305"/>
      <c r="F5" s="1305"/>
      <c r="G5" s="1305"/>
      <c r="H5" s="1305"/>
      <c r="I5" s="1305"/>
      <c r="J5" s="1305"/>
      <c r="K5" s="1305"/>
      <c r="L5" s="1306"/>
    </row>
    <row r="6" spans="1:12" s="1" customFormat="1" x14ac:dyDescent="0.25">
      <c r="A6" s="47"/>
      <c r="B6" s="47"/>
      <c r="C6" s="47"/>
      <c r="D6" s="47"/>
      <c r="E6" s="47"/>
      <c r="F6" s="47"/>
      <c r="G6" s="48"/>
      <c r="H6" s="48"/>
      <c r="I6" s="47"/>
      <c r="J6" s="47"/>
      <c r="K6" s="47"/>
      <c r="L6" s="47"/>
    </row>
    <row r="8" spans="1:12" s="1" customFormat="1" ht="19.5" customHeight="1" thickBot="1" x14ac:dyDescent="0.3">
      <c r="B8" s="1276" t="s">
        <v>91</v>
      </c>
      <c r="C8" s="1276"/>
      <c r="D8" s="1276"/>
      <c r="E8" s="1276"/>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658.49201000000005</v>
      </c>
      <c r="E11" s="58"/>
      <c r="I11" s="59"/>
    </row>
    <row r="12" spans="1:12" s="1" customFormat="1" x14ac:dyDescent="0.25">
      <c r="B12" s="60" t="s">
        <v>96</v>
      </c>
      <c r="C12" s="61" t="s">
        <v>97</v>
      </c>
      <c r="D12" s="62">
        <f>SUM(D13:D14)</f>
        <v>246.78110000000001</v>
      </c>
      <c r="E12" s="63"/>
    </row>
    <row r="13" spans="1:12" s="1" customFormat="1" x14ac:dyDescent="0.25">
      <c r="B13" s="64" t="s">
        <v>98</v>
      </c>
      <c r="C13" s="65" t="s">
        <v>99</v>
      </c>
      <c r="D13" s="66">
        <v>238.72214</v>
      </c>
      <c r="E13" s="67"/>
    </row>
    <row r="14" spans="1:12" s="1" customFormat="1" ht="15.75" thickBot="1" x14ac:dyDescent="0.3">
      <c r="B14" s="68" t="s">
        <v>100</v>
      </c>
      <c r="C14" s="69" t="s">
        <v>101</v>
      </c>
      <c r="D14" s="70">
        <v>8.0589600000000008</v>
      </c>
      <c r="E14" s="71"/>
    </row>
    <row r="15" spans="1:12" s="1" customFormat="1" x14ac:dyDescent="0.25">
      <c r="B15" s="60" t="s">
        <v>102</v>
      </c>
      <c r="C15" s="61" t="s">
        <v>103</v>
      </c>
      <c r="D15" s="62">
        <f>D16+D19+D23</f>
        <v>310.73678000000001</v>
      </c>
      <c r="E15" s="63"/>
    </row>
    <row r="16" spans="1:12" s="1" customFormat="1" ht="17.25" customHeight="1" x14ac:dyDescent="0.25">
      <c r="B16" s="72" t="s">
        <v>104</v>
      </c>
      <c r="C16" s="73" t="s">
        <v>105</v>
      </c>
      <c r="D16" s="74">
        <f>IFERROR(SUM(D17:D18)+D28*(D45/D44), 0)</f>
        <v>184.36596</v>
      </c>
      <c r="E16" s="67"/>
    </row>
    <row r="17" spans="2:12" s="1" customFormat="1" x14ac:dyDescent="0.25">
      <c r="B17" s="64" t="s">
        <v>106</v>
      </c>
      <c r="C17" s="65" t="s">
        <v>107</v>
      </c>
      <c r="D17" s="66">
        <v>184.36596</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106.63182</v>
      </c>
      <c r="E19" s="67"/>
    </row>
    <row r="20" spans="2:12" s="1" customFormat="1" x14ac:dyDescent="0.25">
      <c r="B20" s="64" t="s">
        <v>112</v>
      </c>
      <c r="C20" s="65" t="s">
        <v>113</v>
      </c>
      <c r="D20" s="66">
        <v>106.63182</v>
      </c>
      <c r="E20" s="67"/>
    </row>
    <row r="21" spans="2:12" s="1" customFormat="1" x14ac:dyDescent="0.25">
      <c r="B21" s="64" t="s">
        <v>114</v>
      </c>
      <c r="C21" s="65" t="s">
        <v>115</v>
      </c>
      <c r="D21" s="66">
        <v>0</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19.738999999999997</v>
      </c>
      <c r="E23" s="67"/>
    </row>
    <row r="24" spans="2:12" s="1" customFormat="1" x14ac:dyDescent="0.25">
      <c r="B24" s="64" t="s">
        <v>119</v>
      </c>
      <c r="C24" s="65" t="s">
        <v>120</v>
      </c>
      <c r="D24" s="66">
        <v>19.738999999999997</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19.29344</v>
      </c>
      <c r="E27" s="63"/>
    </row>
    <row r="28" spans="2:12" s="1" customFormat="1" x14ac:dyDescent="0.25">
      <c r="B28" s="64" t="s">
        <v>126</v>
      </c>
      <c r="C28" s="65" t="s">
        <v>127</v>
      </c>
      <c r="D28" s="66">
        <v>0</v>
      </c>
      <c r="E28" s="67"/>
    </row>
    <row r="29" spans="2:12" s="1" customFormat="1" x14ac:dyDescent="0.25">
      <c r="B29" s="64" t="s">
        <v>128</v>
      </c>
      <c r="C29" s="65" t="s">
        <v>129</v>
      </c>
      <c r="D29" s="66">
        <v>19.29344</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81.680689999999998</v>
      </c>
      <c r="E31" s="63"/>
    </row>
    <row r="32" spans="2:12" s="1" customFormat="1" ht="24" x14ac:dyDescent="0.25">
      <c r="B32" s="64" t="s">
        <v>133</v>
      </c>
      <c r="C32" s="65" t="s">
        <v>134</v>
      </c>
      <c r="D32" s="66">
        <v>81.680689999999998</v>
      </c>
      <c r="E32" s="67"/>
    </row>
    <row r="33" spans="2:9" s="1" customFormat="1" ht="15.75" thickBot="1" x14ac:dyDescent="0.3">
      <c r="B33" s="68" t="s">
        <v>135</v>
      </c>
      <c r="C33" s="69" t="s">
        <v>101</v>
      </c>
      <c r="D33" s="70">
        <v>0</v>
      </c>
      <c r="E33" s="71"/>
    </row>
    <row r="34" spans="2:9" s="1" customFormat="1" x14ac:dyDescent="0.25">
      <c r="B34" s="60" t="s">
        <v>53</v>
      </c>
      <c r="C34" s="76" t="s">
        <v>136</v>
      </c>
      <c r="D34" s="62">
        <f>D35+D38</f>
        <v>97.032319999999999</v>
      </c>
      <c r="E34" s="63"/>
    </row>
    <row r="35" spans="2:9" s="1" customFormat="1" x14ac:dyDescent="0.25">
      <c r="B35" s="72" t="s">
        <v>55</v>
      </c>
      <c r="C35" s="73" t="s">
        <v>137</v>
      </c>
      <c r="D35" s="74">
        <f>SUM(D36:D37)</f>
        <v>0</v>
      </c>
      <c r="E35" s="67"/>
    </row>
    <row r="36" spans="2:9" s="1" customFormat="1" x14ac:dyDescent="0.25">
      <c r="B36" s="64" t="s">
        <v>138</v>
      </c>
      <c r="C36" s="65" t="s">
        <v>139</v>
      </c>
      <c r="D36" s="66">
        <v>0</v>
      </c>
      <c r="E36" s="67"/>
    </row>
    <row r="37" spans="2:9" s="1" customFormat="1" x14ac:dyDescent="0.25">
      <c r="B37" s="64" t="s">
        <v>140</v>
      </c>
      <c r="C37" s="65" t="s">
        <v>101</v>
      </c>
      <c r="D37" s="66">
        <v>0</v>
      </c>
      <c r="E37" s="67"/>
    </row>
    <row r="38" spans="2:9" s="1" customFormat="1" x14ac:dyDescent="0.25">
      <c r="B38" s="72" t="s">
        <v>141</v>
      </c>
      <c r="C38" s="73" t="s">
        <v>142</v>
      </c>
      <c r="D38" s="74">
        <f>SUM(D39:D40)</f>
        <v>97.032319999999999</v>
      </c>
      <c r="E38" s="67"/>
    </row>
    <row r="39" spans="2:9" s="1" customFormat="1" x14ac:dyDescent="0.25">
      <c r="B39" s="64" t="s">
        <v>143</v>
      </c>
      <c r="C39" s="65" t="s">
        <v>144</v>
      </c>
      <c r="D39" s="77">
        <v>88.97336</v>
      </c>
      <c r="E39" s="67"/>
    </row>
    <row r="40" spans="2:9" s="1" customFormat="1" ht="15.75" thickBot="1" x14ac:dyDescent="0.3">
      <c r="B40" s="68" t="s">
        <v>145</v>
      </c>
      <c r="C40" s="69" t="s">
        <v>101</v>
      </c>
      <c r="D40" s="70">
        <v>8.0589600000000008</v>
      </c>
      <c r="E40" s="71"/>
    </row>
    <row r="41" spans="2:9" s="1" customFormat="1" ht="15.75" thickBot="1" x14ac:dyDescent="0.3">
      <c r="B41" s="78" t="s">
        <v>146</v>
      </c>
      <c r="C41" s="79" t="s">
        <v>147</v>
      </c>
      <c r="D41" s="80">
        <f>D42+D50</f>
        <v>777.5092216861774</v>
      </c>
      <c r="E41" s="81" t="s">
        <v>148</v>
      </c>
      <c r="F41" s="82"/>
      <c r="I41" s="59"/>
    </row>
    <row r="42" spans="2:9" s="1" customFormat="1" ht="24" x14ac:dyDescent="0.25">
      <c r="B42" s="60" t="s">
        <v>59</v>
      </c>
      <c r="C42" s="76" t="s">
        <v>149</v>
      </c>
      <c r="D42" s="83">
        <f>D43+D44+D48+D49</f>
        <v>705.67082591518624</v>
      </c>
      <c r="E42" s="63" t="s">
        <v>148</v>
      </c>
      <c r="F42" s="82"/>
      <c r="I42" s="59"/>
    </row>
    <row r="43" spans="2:9" s="1" customFormat="1" x14ac:dyDescent="0.25">
      <c r="B43" s="64" t="s">
        <v>150</v>
      </c>
      <c r="C43" s="84" t="s">
        <v>151</v>
      </c>
      <c r="D43" s="85">
        <f>VAS073_F_Visospaskirsto13IsViso</f>
        <v>238.24154761036468</v>
      </c>
      <c r="E43" s="67" t="s">
        <v>148</v>
      </c>
    </row>
    <row r="44" spans="2:9" s="1" customFormat="1" x14ac:dyDescent="0.25">
      <c r="B44" s="64" t="s">
        <v>152</v>
      </c>
      <c r="C44" s="84" t="s">
        <v>153</v>
      </c>
      <c r="D44" s="85">
        <f>VAS073_F_Visospaskirsto14IsViso</f>
        <v>344.19778056969403</v>
      </c>
      <c r="E44" s="67" t="s">
        <v>148</v>
      </c>
    </row>
    <row r="45" spans="2:9" s="2" customFormat="1" x14ac:dyDescent="0.25">
      <c r="B45" s="86" t="s">
        <v>154</v>
      </c>
      <c r="C45" s="87" t="s">
        <v>155</v>
      </c>
      <c r="D45" s="88">
        <f>VAS073_F_Visospaskirsto141NuotekuSurinkimas</f>
        <v>196.76838072690609</v>
      </c>
      <c r="E45" s="89" t="s">
        <v>148</v>
      </c>
      <c r="G45" s="90"/>
      <c r="H45" s="90"/>
    </row>
    <row r="46" spans="2:9" s="2" customFormat="1" x14ac:dyDescent="0.25">
      <c r="B46" s="86" t="s">
        <v>156</v>
      </c>
      <c r="C46" s="87" t="s">
        <v>157</v>
      </c>
      <c r="D46" s="88">
        <f>VAS073_F_Visospaskirsto142NuotekuValymas</f>
        <v>123.99168040324702</v>
      </c>
      <c r="E46" s="89" t="s">
        <v>148</v>
      </c>
      <c r="G46" s="90"/>
      <c r="H46" s="90"/>
    </row>
    <row r="47" spans="2:9" s="2" customFormat="1" x14ac:dyDescent="0.25">
      <c r="B47" s="86" t="s">
        <v>158</v>
      </c>
      <c r="C47" s="87" t="s">
        <v>159</v>
      </c>
      <c r="D47" s="88">
        <f>VAS073_F_Visospaskirsto143NuotekuDumblo</f>
        <v>23.437719439540956</v>
      </c>
      <c r="E47" s="89" t="s">
        <v>148</v>
      </c>
      <c r="G47" s="90"/>
      <c r="H47" s="90"/>
    </row>
    <row r="48" spans="2:9" s="1" customFormat="1" x14ac:dyDescent="0.25">
      <c r="B48" s="68" t="s">
        <v>160</v>
      </c>
      <c r="C48" s="84" t="s">
        <v>161</v>
      </c>
      <c r="D48" s="85">
        <f>VAS073_F_Visospaskirsto15PavirsiniuNuoteku</f>
        <v>14.412556898886336</v>
      </c>
      <c r="E48" s="67" t="s">
        <v>148</v>
      </c>
    </row>
    <row r="49" spans="2:9" s="1" customFormat="1" ht="15.75" thickBot="1" x14ac:dyDescent="0.3">
      <c r="B49" s="68" t="s">
        <v>162</v>
      </c>
      <c r="C49" s="91" t="s">
        <v>163</v>
      </c>
      <c r="D49" s="92">
        <f>VAS073_F_Visospaskirsto12ApskaitosVeikla</f>
        <v>108.81894083624114</v>
      </c>
      <c r="E49" s="71" t="s">
        <v>148</v>
      </c>
    </row>
    <row r="50" spans="2:9" s="1" customFormat="1" x14ac:dyDescent="0.25">
      <c r="B50" s="60" t="s">
        <v>63</v>
      </c>
      <c r="C50" s="76" t="s">
        <v>164</v>
      </c>
      <c r="D50" s="83">
        <f>SUM(D51:D52)</f>
        <v>71.83839577099117</v>
      </c>
      <c r="E50" s="63" t="s">
        <v>148</v>
      </c>
      <c r="I50" s="59"/>
    </row>
    <row r="51" spans="2:9" s="1" customFormat="1" x14ac:dyDescent="0.25">
      <c r="B51" s="64" t="s">
        <v>65</v>
      </c>
      <c r="C51" s="84" t="s">
        <v>165</v>
      </c>
      <c r="D51" s="85">
        <f>VAS073_F_Visospaskirsto16KitosReguliuojamosios</f>
        <v>0</v>
      </c>
      <c r="E51" s="67" t="s">
        <v>148</v>
      </c>
      <c r="G51" s="93"/>
      <c r="H51" s="93"/>
    </row>
    <row r="52" spans="2:9" s="1" customFormat="1" ht="15.75" thickBot="1" x14ac:dyDescent="0.3">
      <c r="B52" s="68" t="s">
        <v>69</v>
      </c>
      <c r="C52" s="91" t="s">
        <v>166</v>
      </c>
      <c r="D52" s="92">
        <f>VAS073_F_Visospaskirsto17KitosVeiklos</f>
        <v>71.83839577099117</v>
      </c>
      <c r="E52" s="71" t="s">
        <v>148</v>
      </c>
    </row>
    <row r="53" spans="2:9" s="1" customFormat="1" x14ac:dyDescent="0.25">
      <c r="B53" s="60" t="s">
        <v>167</v>
      </c>
      <c r="C53" s="94" t="s">
        <v>168</v>
      </c>
      <c r="D53" s="83">
        <f>SUM(D54:D73)</f>
        <v>21.648668313822665</v>
      </c>
      <c r="E53" s="63"/>
      <c r="I53" s="59"/>
    </row>
    <row r="54" spans="2:9" s="1" customFormat="1" x14ac:dyDescent="0.25">
      <c r="B54" s="95" t="s">
        <v>169</v>
      </c>
      <c r="C54" s="96" t="s">
        <v>170</v>
      </c>
      <c r="D54" s="97">
        <v>-0.69994999999999996</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0</v>
      </c>
      <c r="E57" s="98"/>
    </row>
    <row r="58" spans="2:9" s="1" customFormat="1" x14ac:dyDescent="0.25">
      <c r="B58" s="99" t="s">
        <v>177</v>
      </c>
      <c r="C58" s="96" t="s">
        <v>178</v>
      </c>
      <c r="D58" s="97">
        <v>19.805250000000001</v>
      </c>
      <c r="E58" s="98"/>
    </row>
    <row r="59" spans="2:9" s="1" customFormat="1" ht="26.25" x14ac:dyDescent="0.25">
      <c r="B59" s="99" t="s">
        <v>179</v>
      </c>
      <c r="C59" s="96" t="s">
        <v>180</v>
      </c>
      <c r="D59" s="97">
        <v>0</v>
      </c>
      <c r="E59" s="98"/>
    </row>
    <row r="60" spans="2:9" s="1" customFormat="1" ht="26.25" x14ac:dyDescent="0.25">
      <c r="B60" s="99" t="s">
        <v>181</v>
      </c>
      <c r="C60" s="96" t="s">
        <v>182</v>
      </c>
      <c r="D60" s="97">
        <v>1.0439400000000001</v>
      </c>
      <c r="E60" s="98"/>
    </row>
    <row r="61" spans="2:9" s="1" customFormat="1" ht="90" x14ac:dyDescent="0.25">
      <c r="B61" s="99" t="s">
        <v>183</v>
      </c>
      <c r="C61" s="96" t="s">
        <v>184</v>
      </c>
      <c r="D61" s="97">
        <v>0</v>
      </c>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0</v>
      </c>
      <c r="E67" s="98"/>
    </row>
    <row r="68" spans="2:9" s="1" customFormat="1" ht="64.5" x14ac:dyDescent="0.25">
      <c r="B68" s="103" t="s">
        <v>197</v>
      </c>
      <c r="C68" s="96" t="s">
        <v>198</v>
      </c>
      <c r="D68" s="97">
        <v>0</v>
      </c>
      <c r="E68" s="104"/>
    </row>
    <row r="69" spans="2:9" s="1" customFormat="1" ht="39" x14ac:dyDescent="0.25">
      <c r="B69" s="103" t="s">
        <v>199</v>
      </c>
      <c r="C69" s="96" t="s">
        <v>200</v>
      </c>
      <c r="D69" s="97">
        <v>0.8928100000000001</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v>
      </c>
      <c r="E72" s="104"/>
    </row>
    <row r="73" spans="2:9" s="1" customFormat="1" ht="27" thickBot="1" x14ac:dyDescent="0.3">
      <c r="B73" s="105" t="s">
        <v>207</v>
      </c>
      <c r="C73" s="106" t="s">
        <v>208</v>
      </c>
      <c r="D73" s="97">
        <v>0.60661831382266362</v>
      </c>
      <c r="E73" s="107"/>
    </row>
    <row r="74" spans="2:9" s="1" customFormat="1" ht="15.75" thickBot="1" x14ac:dyDescent="0.3">
      <c r="B74" s="78" t="s">
        <v>209</v>
      </c>
      <c r="C74" s="108" t="s">
        <v>210</v>
      </c>
      <c r="D74" s="109">
        <v>-43.633560000000003</v>
      </c>
      <c r="E74" s="81"/>
      <c r="I74" s="59"/>
    </row>
    <row r="75" spans="2:9" s="1" customFormat="1" ht="24" x14ac:dyDescent="0.25">
      <c r="B75" s="110" t="s">
        <v>79</v>
      </c>
      <c r="C75" s="111" t="s">
        <v>211</v>
      </c>
      <c r="D75" s="112">
        <f>D11-D42</f>
        <v>-47.178815915186192</v>
      </c>
      <c r="E75" s="113"/>
      <c r="I75" s="59"/>
    </row>
    <row r="76" spans="2:9" s="1" customFormat="1" x14ac:dyDescent="0.25">
      <c r="B76" s="64" t="s">
        <v>212</v>
      </c>
      <c r="C76" s="84" t="s">
        <v>213</v>
      </c>
      <c r="D76" s="85">
        <f>D12-D43</f>
        <v>8.5395523896353325</v>
      </c>
      <c r="E76" s="67"/>
    </row>
    <row r="77" spans="2:9" s="1" customFormat="1" x14ac:dyDescent="0.25">
      <c r="B77" s="64" t="s">
        <v>214</v>
      </c>
      <c r="C77" s="84" t="s">
        <v>215</v>
      </c>
      <c r="D77" s="85">
        <f>D15-D44</f>
        <v>-33.461000569694022</v>
      </c>
      <c r="E77" s="67"/>
    </row>
    <row r="78" spans="2:9" s="1" customFormat="1" x14ac:dyDescent="0.25">
      <c r="B78" s="64" t="s">
        <v>216</v>
      </c>
      <c r="C78" s="84" t="s">
        <v>217</v>
      </c>
      <c r="D78" s="85">
        <f>D16-D45</f>
        <v>-12.402420726906087</v>
      </c>
      <c r="E78" s="67"/>
    </row>
    <row r="79" spans="2:9" s="1" customFormat="1" x14ac:dyDescent="0.25">
      <c r="B79" s="64" t="s">
        <v>218</v>
      </c>
      <c r="C79" s="84" t="s">
        <v>219</v>
      </c>
      <c r="D79" s="85">
        <f>D19-D46</f>
        <v>-17.359860403247012</v>
      </c>
      <c r="E79" s="67"/>
    </row>
    <row r="80" spans="2:9" s="1" customFormat="1" x14ac:dyDescent="0.25">
      <c r="B80" s="64" t="s">
        <v>220</v>
      </c>
      <c r="C80" s="84" t="s">
        <v>221</v>
      </c>
      <c r="D80" s="85">
        <f>D23-D47</f>
        <v>-3.6987194395409588</v>
      </c>
      <c r="E80" s="67"/>
    </row>
    <row r="81" spans="2:9" s="1" customFormat="1" ht="24" x14ac:dyDescent="0.25">
      <c r="B81" s="68" t="s">
        <v>222</v>
      </c>
      <c r="C81" s="84" t="s">
        <v>223</v>
      </c>
      <c r="D81" s="85">
        <f>D27-D48</f>
        <v>4.880883101113664</v>
      </c>
      <c r="E81" s="67"/>
    </row>
    <row r="82" spans="2:9" s="1" customFormat="1" ht="15.75" thickBot="1" x14ac:dyDescent="0.3">
      <c r="B82" s="68" t="s">
        <v>224</v>
      </c>
      <c r="C82" s="91" t="s">
        <v>225</v>
      </c>
      <c r="D82" s="85">
        <f>D31-D49</f>
        <v>-27.138250836241141</v>
      </c>
      <c r="E82" s="71"/>
    </row>
    <row r="83" spans="2:9" s="1" customFormat="1" x14ac:dyDescent="0.25">
      <c r="B83" s="60" t="s">
        <v>81</v>
      </c>
      <c r="C83" s="76" t="s">
        <v>226</v>
      </c>
      <c r="D83" s="83">
        <f>D34-D50</f>
        <v>25.193924229008829</v>
      </c>
      <c r="E83" s="63"/>
      <c r="I83" s="59"/>
    </row>
    <row r="84" spans="2:9" s="1" customFormat="1" x14ac:dyDescent="0.25">
      <c r="B84" s="64" t="s">
        <v>83</v>
      </c>
      <c r="C84" s="84" t="s">
        <v>227</v>
      </c>
      <c r="D84" s="85">
        <f>D35-D51</f>
        <v>0</v>
      </c>
      <c r="E84" s="67"/>
    </row>
    <row r="85" spans="2:9" s="1" customFormat="1" x14ac:dyDescent="0.25">
      <c r="B85" s="68" t="s">
        <v>85</v>
      </c>
      <c r="C85" s="91" t="s">
        <v>228</v>
      </c>
      <c r="D85" s="92">
        <f>IFERROR(D38-D52,"-")</f>
        <v>25.193924229008829</v>
      </c>
      <c r="E85" s="71"/>
    </row>
    <row r="86" spans="2:9" s="1" customFormat="1" ht="15.75" thickBot="1" x14ac:dyDescent="0.3">
      <c r="B86" s="114" t="s">
        <v>87</v>
      </c>
      <c r="C86" s="115" t="s">
        <v>229</v>
      </c>
      <c r="D86" s="116">
        <v>0</v>
      </c>
      <c r="E86" s="71"/>
    </row>
    <row r="87" spans="2:9" s="1" customFormat="1" ht="15.75" thickBot="1" x14ac:dyDescent="0.3">
      <c r="B87" s="78" t="s">
        <v>230</v>
      </c>
      <c r="C87" s="79" t="s">
        <v>231</v>
      </c>
      <c r="D87" s="117">
        <v>0</v>
      </c>
      <c r="E87" s="81"/>
      <c r="I87" s="59"/>
    </row>
    <row r="88" spans="2:9" s="1" customFormat="1" ht="15.75" thickBot="1" x14ac:dyDescent="0.3">
      <c r="B88" s="78" t="s">
        <v>232</v>
      </c>
      <c r="C88" s="79" t="s">
        <v>233</v>
      </c>
      <c r="D88" s="80">
        <f>IFERROR(D74+D86-D87,"0")</f>
        <v>-43.633560000000003</v>
      </c>
      <c r="E88" s="81"/>
      <c r="I88" s="59"/>
    </row>
    <row r="89" spans="2:9" s="1" customFormat="1" ht="24" x14ac:dyDescent="0.25">
      <c r="B89" s="110" t="s">
        <v>234</v>
      </c>
      <c r="C89" s="111" t="s">
        <v>235</v>
      </c>
      <c r="D89" s="112">
        <f>IFERROR((D75/D11)*100,"0")</f>
        <v>-7.1646755311710137</v>
      </c>
      <c r="E89" s="113"/>
    </row>
    <row r="90" spans="2:9" s="1" customFormat="1" x14ac:dyDescent="0.25">
      <c r="B90" s="64" t="s">
        <v>236</v>
      </c>
      <c r="C90" s="84" t="s">
        <v>237</v>
      </c>
      <c r="D90" s="85">
        <f>IFERROR((D76/D12)*100,"0")</f>
        <v>3.4603753649024709</v>
      </c>
      <c r="E90" s="67"/>
    </row>
    <row r="91" spans="2:9" s="1" customFormat="1" x14ac:dyDescent="0.25">
      <c r="B91" s="64" t="s">
        <v>238</v>
      </c>
      <c r="C91" s="84" t="s">
        <v>239</v>
      </c>
      <c r="D91" s="85">
        <f>IFERROR((D77/D15)*100,"0")</f>
        <v>-10.768278080790443</v>
      </c>
      <c r="E91" s="67"/>
    </row>
    <row r="92" spans="2:9" s="1" customFormat="1" ht="24" x14ac:dyDescent="0.25">
      <c r="B92" s="64" t="s">
        <v>240</v>
      </c>
      <c r="C92" s="84" t="s">
        <v>241</v>
      </c>
      <c r="D92" s="85">
        <f>IFERROR((D78/D16)*100,"0")</f>
        <v>-6.7270664969314762</v>
      </c>
      <c r="E92" s="67"/>
    </row>
    <row r="93" spans="2:9" s="1" customFormat="1" x14ac:dyDescent="0.25">
      <c r="B93" s="64" t="s">
        <v>242</v>
      </c>
      <c r="C93" s="84" t="s">
        <v>243</v>
      </c>
      <c r="D93" s="85">
        <f>IFERROR((D79/D19)*100,"0")</f>
        <v>-16.280187661850853</v>
      </c>
      <c r="E93" s="67"/>
    </row>
    <row r="94" spans="2:9" s="1" customFormat="1" x14ac:dyDescent="0.25">
      <c r="B94" s="64" t="s">
        <v>244</v>
      </c>
      <c r="C94" s="84" t="s">
        <v>245</v>
      </c>
      <c r="D94" s="85">
        <f>IFERROR((D80/D23)*100,"0")</f>
        <v>-18.738129791483658</v>
      </c>
      <c r="E94" s="67"/>
    </row>
    <row r="95" spans="2:9" s="1" customFormat="1" ht="24" x14ac:dyDescent="0.25">
      <c r="B95" s="68" t="s">
        <v>246</v>
      </c>
      <c r="C95" s="84" t="s">
        <v>247</v>
      </c>
      <c r="D95" s="85">
        <f>IFERROR((D81/D27)*100,"0")</f>
        <v>25.298148495621643</v>
      </c>
      <c r="E95" s="67"/>
    </row>
    <row r="96" spans="2:9" s="1" customFormat="1" ht="15.75" thickBot="1" x14ac:dyDescent="0.3">
      <c r="B96" s="118" t="s">
        <v>248</v>
      </c>
      <c r="C96" s="119" t="s">
        <v>249</v>
      </c>
      <c r="D96" s="120">
        <f>IFERROR((D82/D31)*100,"0")</f>
        <v>-33.224806054210781</v>
      </c>
      <c r="E96" s="121"/>
    </row>
    <row r="98" spans="3:3" s="1" customFormat="1" x14ac:dyDescent="0.25">
      <c r="C98" s="90" t="s">
        <v>250</v>
      </c>
    </row>
    <row r="99" spans="3:3" s="1" customFormat="1" x14ac:dyDescent="0.25">
      <c r="C99" s="90" t="s">
        <v>251</v>
      </c>
    </row>
  </sheetData>
  <sheetProtection algorithmName="SHA-512" hashValue="ZXOqPmG6oivQcrLgsDrfbcjPbJjDoECvXYFeUQOSJzY8Tf7AC8MzJDVCKXKd2gM+/IfuJ09QJhUKrjnylT4yDw==" saltValue="MxRPokHy/Cf/OqYnREAlf3lHcyC4yl1JTyZSOIISPb1g2JNu8Nl30Ox0VLQu5i0PA9DJpiE/x+Yizgqtfb1pjg=="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241"/>
  <sheetViews>
    <sheetView zoomScale="80" zoomScaleNormal="80" workbookViewId="0">
      <selection activeCell="D13" sqref="D13"/>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7" t="s">
        <v>0</v>
      </c>
      <c r="B1" s="1278"/>
      <c r="C1" s="1278"/>
      <c r="D1" s="1278"/>
      <c r="E1" s="1278"/>
      <c r="F1" s="1278"/>
      <c r="G1" s="1278"/>
      <c r="H1" s="1278"/>
      <c r="I1" s="1278"/>
      <c r="J1" s="1278"/>
      <c r="K1" s="1278"/>
      <c r="L1" s="1278"/>
      <c r="M1" s="1278"/>
      <c r="N1" s="1278"/>
      <c r="O1" s="1278"/>
      <c r="P1" s="1278"/>
      <c r="Q1" s="1279"/>
    </row>
    <row r="2" spans="1:18" s="1" customFormat="1" x14ac:dyDescent="0.25">
      <c r="A2" s="1277" t="s">
        <v>1</v>
      </c>
      <c r="B2" s="1278"/>
      <c r="C2" s="1278"/>
      <c r="D2" s="1278"/>
      <c r="E2" s="1278"/>
      <c r="F2" s="1278"/>
      <c r="G2" s="1278"/>
      <c r="H2" s="1278"/>
      <c r="I2" s="1278"/>
      <c r="J2" s="1278"/>
      <c r="K2" s="1278"/>
      <c r="L2" s="1278"/>
      <c r="M2" s="1278"/>
      <c r="N2" s="1278"/>
      <c r="O2" s="1278"/>
      <c r="P2" s="1278"/>
      <c r="Q2" s="1279"/>
    </row>
    <row r="3" spans="1:18" s="1" customFormat="1" x14ac:dyDescent="0.25">
      <c r="A3" s="1280"/>
      <c r="B3" s="1281"/>
      <c r="C3" s="1281"/>
      <c r="D3" s="1281"/>
      <c r="E3" s="1281"/>
      <c r="F3" s="1281"/>
      <c r="G3" s="1281"/>
      <c r="H3" s="1281"/>
      <c r="I3" s="1281"/>
      <c r="J3" s="1281"/>
      <c r="K3" s="1281"/>
      <c r="L3" s="1281"/>
      <c r="M3" s="1281"/>
      <c r="N3" s="1281"/>
      <c r="O3" s="1281"/>
      <c r="P3" s="1281"/>
      <c r="Q3" s="1282"/>
    </row>
    <row r="4" spans="1:18" s="1" customFormat="1" x14ac:dyDescent="0.25">
      <c r="A4" s="7"/>
      <c r="B4" s="7"/>
      <c r="C4" s="7"/>
      <c r="D4" s="7"/>
      <c r="E4" s="7"/>
      <c r="F4" s="7"/>
      <c r="G4" s="7"/>
      <c r="H4" s="7"/>
      <c r="I4" s="7"/>
      <c r="J4" s="7"/>
      <c r="K4" s="7"/>
      <c r="L4" s="7"/>
      <c r="M4" s="7"/>
      <c r="N4" s="7"/>
      <c r="O4" s="7"/>
      <c r="P4" s="7"/>
      <c r="Q4" s="123"/>
    </row>
    <row r="5" spans="1:18" s="1" customFormat="1" x14ac:dyDescent="0.25">
      <c r="A5" s="1283" t="s">
        <v>252</v>
      </c>
      <c r="B5" s="1284"/>
      <c r="C5" s="1284"/>
      <c r="D5" s="1284"/>
      <c r="E5" s="1284"/>
      <c r="F5" s="1284"/>
      <c r="G5" s="1284"/>
      <c r="H5" s="1284"/>
      <c r="I5" s="1284"/>
      <c r="J5" s="1284"/>
      <c r="K5" s="1284"/>
      <c r="L5" s="1284"/>
      <c r="M5" s="1284"/>
      <c r="N5" s="1284"/>
      <c r="O5" s="1284"/>
      <c r="P5" s="1284"/>
      <c r="Q5" s="1285"/>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6" t="s">
        <v>253</v>
      </c>
      <c r="C8" s="1276"/>
      <c r="D8" s="1276"/>
      <c r="E8" s="1276"/>
      <c r="F8" s="1276"/>
      <c r="G8" s="1276"/>
      <c r="H8" s="1276"/>
      <c r="I8" s="1276"/>
      <c r="J8" s="1276"/>
      <c r="K8" s="1276"/>
      <c r="L8" s="1276"/>
      <c r="M8" s="1276"/>
      <c r="N8" s="1276"/>
      <c r="O8" s="1276"/>
      <c r="P8" s="1276"/>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0</v>
      </c>
      <c r="E11" s="145">
        <f t="shared" si="0"/>
        <v>0</v>
      </c>
      <c r="F11" s="146">
        <f t="shared" si="0"/>
        <v>0</v>
      </c>
      <c r="G11" s="147">
        <f t="shared" si="0"/>
        <v>0</v>
      </c>
      <c r="H11" s="148">
        <f t="shared" si="0"/>
        <v>0</v>
      </c>
      <c r="I11" s="149">
        <f t="shared" si="0"/>
        <v>0</v>
      </c>
      <c r="J11" s="146">
        <f t="shared" si="0"/>
        <v>0</v>
      </c>
      <c r="K11" s="147">
        <f t="shared" si="0"/>
        <v>0</v>
      </c>
      <c r="L11" s="148">
        <f t="shared" si="0"/>
        <v>0</v>
      </c>
      <c r="M11" s="148">
        <f t="shared" si="0"/>
        <v>0</v>
      </c>
      <c r="N11" s="144">
        <f t="shared" si="0"/>
        <v>0</v>
      </c>
      <c r="O11" s="145">
        <f t="shared" si="0"/>
        <v>0</v>
      </c>
      <c r="P11" s="146">
        <f t="shared" si="0"/>
        <v>0</v>
      </c>
    </row>
    <row r="12" spans="1:18" s="1" customFormat="1" ht="15.75" thickBot="1" x14ac:dyDescent="0.3">
      <c r="B12" s="150" t="s">
        <v>102</v>
      </c>
      <c r="C12" s="151" t="s">
        <v>270</v>
      </c>
      <c r="D12" s="152">
        <f t="shared" ref="D12:P12" si="1">D31</f>
        <v>0</v>
      </c>
      <c r="E12" s="153">
        <f t="shared" si="1"/>
        <v>0</v>
      </c>
      <c r="F12" s="154">
        <f t="shared" si="1"/>
        <v>0</v>
      </c>
      <c r="G12" s="155">
        <f t="shared" si="1"/>
        <v>0</v>
      </c>
      <c r="H12" s="156">
        <f t="shared" si="1"/>
        <v>0</v>
      </c>
      <c r="I12" s="157">
        <f t="shared" si="1"/>
        <v>0</v>
      </c>
      <c r="J12" s="154">
        <f t="shared" si="1"/>
        <v>0</v>
      </c>
      <c r="K12" s="155">
        <f t="shared" si="1"/>
        <v>0</v>
      </c>
      <c r="L12" s="156">
        <f t="shared" si="1"/>
        <v>0</v>
      </c>
      <c r="M12" s="156">
        <f t="shared" si="1"/>
        <v>0</v>
      </c>
      <c r="N12" s="152">
        <f t="shared" si="1"/>
        <v>0</v>
      </c>
      <c r="O12" s="153">
        <f t="shared" si="1"/>
        <v>0</v>
      </c>
      <c r="P12" s="154">
        <f t="shared" si="1"/>
        <v>0</v>
      </c>
    </row>
    <row r="13" spans="1:18" s="1" customFormat="1" x14ac:dyDescent="0.25">
      <c r="B13" s="150" t="s">
        <v>124</v>
      </c>
      <c r="C13" s="151" t="s">
        <v>271</v>
      </c>
      <c r="D13" s="152">
        <f t="shared" ref="D13:P13" si="2">D34+D91</f>
        <v>97.840760000000003</v>
      </c>
      <c r="E13" s="153">
        <f t="shared" si="2"/>
        <v>3.4259874656070437E-4</v>
      </c>
      <c r="F13" s="154">
        <f t="shared" si="2"/>
        <v>33.462438764875841</v>
      </c>
      <c r="G13" s="155">
        <f t="shared" si="2"/>
        <v>29.418806157374934</v>
      </c>
      <c r="H13" s="156">
        <f t="shared" si="2"/>
        <v>2.957212777900069</v>
      </c>
      <c r="I13" s="157">
        <f t="shared" si="2"/>
        <v>1.0864198296008343</v>
      </c>
      <c r="J13" s="154">
        <f t="shared" si="2"/>
        <v>63.075768914710672</v>
      </c>
      <c r="K13" s="155">
        <f t="shared" si="2"/>
        <v>15.685000066119217</v>
      </c>
      <c r="L13" s="156">
        <f t="shared" si="2"/>
        <v>46.666165979083218</v>
      </c>
      <c r="M13" s="156">
        <f t="shared" si="2"/>
        <v>0.72460286950823438</v>
      </c>
      <c r="N13" s="152">
        <f t="shared" si="2"/>
        <v>0</v>
      </c>
      <c r="O13" s="153">
        <f t="shared" si="2"/>
        <v>0</v>
      </c>
      <c r="P13" s="154">
        <f t="shared" si="2"/>
        <v>1.3022097216669388</v>
      </c>
    </row>
    <row r="14" spans="1:18" s="3" customFormat="1" ht="35.25" customHeight="1" thickBot="1" x14ac:dyDescent="0.3">
      <c r="B14" s="158" t="s">
        <v>126</v>
      </c>
      <c r="C14" s="159" t="s">
        <v>272</v>
      </c>
      <c r="D14" s="160">
        <f t="shared" ref="D14:P14" si="3">D35+D92</f>
        <v>90.215488572398272</v>
      </c>
      <c r="E14" s="161">
        <f t="shared" si="3"/>
        <v>2.6539822780641443E-4</v>
      </c>
      <c r="F14" s="162">
        <f t="shared" si="3"/>
        <v>32.237394596335008</v>
      </c>
      <c r="G14" s="163">
        <f t="shared" si="3"/>
        <v>28.371172581705164</v>
      </c>
      <c r="H14" s="164">
        <f t="shared" si="3"/>
        <v>2.8646849097536315</v>
      </c>
      <c r="I14" s="165">
        <f t="shared" si="3"/>
        <v>1.0015371048762116</v>
      </c>
      <c r="J14" s="162">
        <f t="shared" si="3"/>
        <v>57.961940475973286</v>
      </c>
      <c r="K14" s="163">
        <f t="shared" si="3"/>
        <v>13.080019606674147</v>
      </c>
      <c r="L14" s="164">
        <f t="shared" si="3"/>
        <v>44.486175210816036</v>
      </c>
      <c r="M14" s="164">
        <f t="shared" si="3"/>
        <v>0.39574565848310028</v>
      </c>
      <c r="N14" s="160">
        <f t="shared" si="3"/>
        <v>0</v>
      </c>
      <c r="O14" s="161">
        <f t="shared" si="3"/>
        <v>0</v>
      </c>
      <c r="P14" s="162">
        <f t="shared" si="3"/>
        <v>1.5888101862170344E-2</v>
      </c>
      <c r="Q14" s="166"/>
      <c r="R14" s="166"/>
    </row>
    <row r="15" spans="1:18" s="1" customFormat="1" ht="15.75" thickBot="1" x14ac:dyDescent="0.3">
      <c r="B15" s="150" t="s">
        <v>131</v>
      </c>
      <c r="C15" s="151" t="s">
        <v>273</v>
      </c>
      <c r="D15" s="152">
        <f t="shared" ref="D15:P15" si="4">D37</f>
        <v>4.3754500000000007</v>
      </c>
      <c r="E15" s="153">
        <f t="shared" si="4"/>
        <v>0</v>
      </c>
      <c r="F15" s="154">
        <f t="shared" si="4"/>
        <v>-5.1000000000000004E-4</v>
      </c>
      <c r="G15" s="155">
        <f t="shared" si="4"/>
        <v>0</v>
      </c>
      <c r="H15" s="156">
        <f t="shared" si="4"/>
        <v>-5.1000000000000004E-4</v>
      </c>
      <c r="I15" s="157">
        <f t="shared" si="4"/>
        <v>0</v>
      </c>
      <c r="J15" s="154">
        <f t="shared" si="4"/>
        <v>1.80664</v>
      </c>
      <c r="K15" s="155">
        <f t="shared" si="4"/>
        <v>0</v>
      </c>
      <c r="L15" s="156">
        <f t="shared" si="4"/>
        <v>-5.1399999999999996E-3</v>
      </c>
      <c r="M15" s="156">
        <f t="shared" si="4"/>
        <v>1.8117799999999999</v>
      </c>
      <c r="N15" s="152">
        <f t="shared" si="4"/>
        <v>0</v>
      </c>
      <c r="O15" s="153">
        <f t="shared" si="4"/>
        <v>0</v>
      </c>
      <c r="P15" s="154">
        <f t="shared" si="4"/>
        <v>2.5693200000000003</v>
      </c>
    </row>
    <row r="16" spans="1:18" s="1" customFormat="1" x14ac:dyDescent="0.25">
      <c r="B16" s="150" t="s">
        <v>274</v>
      </c>
      <c r="C16" s="151" t="s">
        <v>275</v>
      </c>
      <c r="D16" s="152">
        <f t="shared" ref="D16:P16" si="5">D45+D99+D194</f>
        <v>70.513809999999992</v>
      </c>
      <c r="E16" s="153">
        <f t="shared" si="5"/>
        <v>27.980379911248036</v>
      </c>
      <c r="F16" s="154">
        <f t="shared" si="5"/>
        <v>16.200547141039245</v>
      </c>
      <c r="G16" s="155">
        <f t="shared" si="5"/>
        <v>2.7348138826380688</v>
      </c>
      <c r="H16" s="156">
        <f t="shared" si="5"/>
        <v>1.8385909854338767</v>
      </c>
      <c r="I16" s="157">
        <f t="shared" si="5"/>
        <v>11.6271422729673</v>
      </c>
      <c r="J16" s="154">
        <f t="shared" si="5"/>
        <v>20.558648521459396</v>
      </c>
      <c r="K16" s="155">
        <f t="shared" si="5"/>
        <v>11.327432780298755</v>
      </c>
      <c r="L16" s="156">
        <f t="shared" si="5"/>
        <v>6.6843162193942138</v>
      </c>
      <c r="M16" s="156">
        <f t="shared" si="5"/>
        <v>2.5468995217664299</v>
      </c>
      <c r="N16" s="152">
        <f t="shared" si="5"/>
        <v>0.23393602441281763</v>
      </c>
      <c r="O16" s="153">
        <f t="shared" si="5"/>
        <v>0</v>
      </c>
      <c r="P16" s="154">
        <f t="shared" si="5"/>
        <v>5.5402984018405048</v>
      </c>
    </row>
    <row r="17" spans="1:21" s="3" customFormat="1" x14ac:dyDescent="0.25">
      <c r="B17" s="167" t="s">
        <v>276</v>
      </c>
      <c r="C17" s="168" t="s">
        <v>277</v>
      </c>
      <c r="D17" s="169">
        <f t="shared" ref="D17:P17" si="6">D46+D100+D195</f>
        <v>58.747870000000006</v>
      </c>
      <c r="E17" s="170">
        <f t="shared" si="6"/>
        <v>27.038094045412425</v>
      </c>
      <c r="F17" s="171">
        <f t="shared" si="6"/>
        <v>13.996349044127035</v>
      </c>
      <c r="G17" s="172">
        <f t="shared" si="6"/>
        <v>2.0677043497552372</v>
      </c>
      <c r="H17" s="173">
        <f t="shared" si="6"/>
        <v>0.70139452799990931</v>
      </c>
      <c r="I17" s="174">
        <f t="shared" si="6"/>
        <v>11.227250166371888</v>
      </c>
      <c r="J17" s="171">
        <f t="shared" si="6"/>
        <v>12.210905647737325</v>
      </c>
      <c r="K17" s="172">
        <f t="shared" si="6"/>
        <v>7.1866290564580053</v>
      </c>
      <c r="L17" s="173">
        <f t="shared" si="6"/>
        <v>2.546340224874994</v>
      </c>
      <c r="M17" s="173">
        <f t="shared" si="6"/>
        <v>2.4779363664043257</v>
      </c>
      <c r="N17" s="169">
        <f t="shared" si="6"/>
        <v>0.18700999999999998</v>
      </c>
      <c r="O17" s="170">
        <f t="shared" si="6"/>
        <v>0</v>
      </c>
      <c r="P17" s="171">
        <f t="shared" si="6"/>
        <v>5.3155112627232155</v>
      </c>
      <c r="Q17" s="166"/>
      <c r="R17" s="166"/>
    </row>
    <row r="18" spans="1:21" s="3" customFormat="1" x14ac:dyDescent="0.25">
      <c r="B18" s="167" t="s">
        <v>278</v>
      </c>
      <c r="C18" s="168" t="s">
        <v>279</v>
      </c>
      <c r="D18" s="169">
        <f t="shared" ref="D18:P18" si="7">D49+D103+D198</f>
        <v>0</v>
      </c>
      <c r="E18" s="170">
        <f t="shared" si="7"/>
        <v>0</v>
      </c>
      <c r="F18" s="171">
        <f t="shared" si="7"/>
        <v>0</v>
      </c>
      <c r="G18" s="172">
        <f t="shared" si="7"/>
        <v>0</v>
      </c>
      <c r="H18" s="173">
        <f t="shared" si="7"/>
        <v>0</v>
      </c>
      <c r="I18" s="174">
        <f t="shared" si="7"/>
        <v>0</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11.177289999999999</v>
      </c>
      <c r="E19" s="178">
        <f t="shared" si="8"/>
        <v>0.35363586583560958</v>
      </c>
      <c r="F19" s="179">
        <f t="shared" si="8"/>
        <v>2.2041980969122101</v>
      </c>
      <c r="G19" s="180">
        <f t="shared" si="8"/>
        <v>0.66710953288283159</v>
      </c>
      <c r="H19" s="181">
        <f t="shared" si="8"/>
        <v>1.1371964574339672</v>
      </c>
      <c r="I19" s="182">
        <f t="shared" si="8"/>
        <v>0.39989210659541136</v>
      </c>
      <c r="J19" s="179">
        <f t="shared" si="8"/>
        <v>8.3477428737220727</v>
      </c>
      <c r="K19" s="180">
        <f t="shared" si="8"/>
        <v>4.14080372384075</v>
      </c>
      <c r="L19" s="181">
        <f t="shared" si="8"/>
        <v>4.1379759945192198</v>
      </c>
      <c r="M19" s="181">
        <f t="shared" si="8"/>
        <v>6.8963155362104053E-2</v>
      </c>
      <c r="N19" s="177">
        <f t="shared" si="8"/>
        <v>4.6926024412817638E-2</v>
      </c>
      <c r="O19" s="178">
        <f t="shared" si="8"/>
        <v>0</v>
      </c>
      <c r="P19" s="179">
        <f t="shared" si="8"/>
        <v>0.22478713911728893</v>
      </c>
      <c r="Q19" s="166"/>
      <c r="R19" s="166"/>
    </row>
    <row r="20" spans="1:21" s="1" customFormat="1" x14ac:dyDescent="0.25">
      <c r="B20" s="150" t="s">
        <v>282</v>
      </c>
      <c r="C20" s="183" t="s">
        <v>283</v>
      </c>
      <c r="D20" s="152">
        <f t="shared" ref="D20:P20" si="9">D52+D106+D201</f>
        <v>340.66980000000001</v>
      </c>
      <c r="E20" s="153">
        <f t="shared" si="9"/>
        <v>69.25841021078547</v>
      </c>
      <c r="F20" s="154">
        <f t="shared" si="9"/>
        <v>83.639678066680389</v>
      </c>
      <c r="G20" s="155">
        <f t="shared" si="9"/>
        <v>17.523250423577991</v>
      </c>
      <c r="H20" s="156">
        <f t="shared" si="9"/>
        <v>13.560483010580528</v>
      </c>
      <c r="I20" s="157">
        <f t="shared" si="9"/>
        <v>52.555944632521872</v>
      </c>
      <c r="J20" s="154">
        <f t="shared" si="9"/>
        <v>143.73109646054439</v>
      </c>
      <c r="K20" s="155">
        <f t="shared" si="9"/>
        <v>73.208896396580627</v>
      </c>
      <c r="L20" s="156">
        <f t="shared" si="9"/>
        <v>55.140573102091693</v>
      </c>
      <c r="M20" s="156">
        <f t="shared" si="9"/>
        <v>15.38162696187208</v>
      </c>
      <c r="N20" s="152">
        <f t="shared" si="9"/>
        <v>12.798683435003875</v>
      </c>
      <c r="O20" s="153">
        <f t="shared" si="9"/>
        <v>0</v>
      </c>
      <c r="P20" s="154">
        <f t="shared" si="9"/>
        <v>31.241931826985883</v>
      </c>
    </row>
    <row r="21" spans="1:21" s="1" customFormat="1" ht="15.75" thickBot="1" x14ac:dyDescent="0.3">
      <c r="B21" s="167" t="s">
        <v>284</v>
      </c>
      <c r="C21" s="184" t="s">
        <v>285</v>
      </c>
      <c r="D21" s="169">
        <f t="shared" ref="D21:P21" si="10">D53+D107+D202</f>
        <v>333.24733000000003</v>
      </c>
      <c r="E21" s="170">
        <f t="shared" si="10"/>
        <v>67.870704715574831</v>
      </c>
      <c r="F21" s="171">
        <f t="shared" si="10"/>
        <v>82.17681433280022</v>
      </c>
      <c r="G21" s="172">
        <f t="shared" si="10"/>
        <v>17.210522713392368</v>
      </c>
      <c r="H21" s="173">
        <f t="shared" si="10"/>
        <v>13.320982338543853</v>
      </c>
      <c r="I21" s="174">
        <f t="shared" si="10"/>
        <v>51.645309280863998</v>
      </c>
      <c r="J21" s="171">
        <f t="shared" si="10"/>
        <v>141.19937206236636</v>
      </c>
      <c r="K21" s="172">
        <f t="shared" si="10"/>
        <v>71.913180919551138</v>
      </c>
      <c r="L21" s="173">
        <f t="shared" si="10"/>
        <v>54.185273771328696</v>
      </c>
      <c r="M21" s="173">
        <f t="shared" si="10"/>
        <v>15.100917371486544</v>
      </c>
      <c r="N21" s="169">
        <f t="shared" si="10"/>
        <v>12.568984520256988</v>
      </c>
      <c r="O21" s="170">
        <f t="shared" si="10"/>
        <v>0</v>
      </c>
      <c r="P21" s="171">
        <f t="shared" si="10"/>
        <v>29.431454369001592</v>
      </c>
    </row>
    <row r="22" spans="1:21" s="1" customFormat="1" ht="15.75" thickBot="1" x14ac:dyDescent="0.3">
      <c r="A22" s="185"/>
      <c r="B22" s="186" t="s">
        <v>286</v>
      </c>
      <c r="C22" s="187" t="s">
        <v>287</v>
      </c>
      <c r="D22" s="188">
        <f>D32+D33+D47+D67+D69+D73+D75+D76+D77+D79+D85+D86+D101+D119+D121+D125+D128+D129+D131+D137+D138+D196+D214+D216+D220+D222+D223+D224+D226+D233+D234+D127</f>
        <v>39.869009999999996</v>
      </c>
      <c r="E22" s="189">
        <f>E32+E33+E47+E67+E69+E73+E75+E76+E77+E79+E85+E86+E101+E119+E121+E125+E127+E128+E129+E131+E137+E138+E196+E214+E216+E220+E222+E223+E224+E226+E233+E234+E127</f>
        <v>3.9445109312219522</v>
      </c>
      <c r="F22" s="190">
        <f t="shared" ref="F22:P22" si="11">F32+F33+F47+F67+F69+F73+F75+F76+F77+F79+F85+F86+F101+F119+F121+F125+F128+F129+F131+F137+F138+F196+F214+F216+F220+F222+F223+F224+F226+F233+F234+F127</f>
        <v>13.551676920097627</v>
      </c>
      <c r="G22" s="191">
        <f t="shared" si="11"/>
        <v>1.3097023640705461</v>
      </c>
      <c r="H22" s="192">
        <f t="shared" si="11"/>
        <v>1.5920238350068463</v>
      </c>
      <c r="I22" s="193">
        <f t="shared" si="11"/>
        <v>10.649950721020238</v>
      </c>
      <c r="J22" s="190">
        <f t="shared" si="11"/>
        <v>18.106190850440463</v>
      </c>
      <c r="K22" s="191">
        <f t="shared" si="11"/>
        <v>9.069034726536902</v>
      </c>
      <c r="L22" s="192">
        <f t="shared" si="11"/>
        <v>8.5205900042931706</v>
      </c>
      <c r="M22" s="192">
        <f t="shared" si="11"/>
        <v>0.51656611961038967</v>
      </c>
      <c r="N22" s="188">
        <f t="shared" si="11"/>
        <v>0.48870921861127065</v>
      </c>
      <c r="O22" s="189">
        <f t="shared" si="11"/>
        <v>0</v>
      </c>
      <c r="P22" s="194">
        <f t="shared" si="11"/>
        <v>3.7779220796286865</v>
      </c>
    </row>
    <row r="23" spans="1:21" s="1" customFormat="1" ht="16.5" thickTop="1" thickBot="1" x14ac:dyDescent="0.3">
      <c r="A23" s="185"/>
      <c r="B23" s="195" t="s">
        <v>288</v>
      </c>
      <c r="C23" s="135" t="s">
        <v>289</v>
      </c>
      <c r="D23" s="196">
        <f t="shared" ref="D23:P23" si="12">D29+D90+D186</f>
        <v>777.5092216861774</v>
      </c>
      <c r="E23" s="197">
        <f t="shared" si="12"/>
        <v>108.81894083624114</v>
      </c>
      <c r="F23" s="195">
        <f t="shared" si="12"/>
        <v>238.24154761036468</v>
      </c>
      <c r="G23" s="198">
        <f t="shared" si="12"/>
        <v>89.979931601165532</v>
      </c>
      <c r="H23" s="199">
        <f t="shared" si="12"/>
        <v>23.156271124136772</v>
      </c>
      <c r="I23" s="200">
        <f t="shared" si="12"/>
        <v>125.10534488506238</v>
      </c>
      <c r="J23" s="195">
        <f t="shared" si="12"/>
        <v>344.19778056969403</v>
      </c>
      <c r="K23" s="198">
        <f t="shared" si="12"/>
        <v>196.76838072690609</v>
      </c>
      <c r="L23" s="199">
        <f t="shared" si="12"/>
        <v>123.99168040324702</v>
      </c>
      <c r="M23" s="199">
        <f t="shared" si="12"/>
        <v>23.437719439540956</v>
      </c>
      <c r="N23" s="196">
        <f t="shared" si="12"/>
        <v>14.412556898886336</v>
      </c>
      <c r="O23" s="197">
        <f t="shared" si="12"/>
        <v>0</v>
      </c>
      <c r="P23" s="201">
        <f t="shared" si="12"/>
        <v>71.83839577099117</v>
      </c>
      <c r="S23" s="122"/>
      <c r="T23" s="202"/>
      <c r="U23" s="4"/>
    </row>
    <row r="24" spans="1:21" s="1" customFormat="1" ht="15.75" thickTop="1" x14ac:dyDescent="0.25">
      <c r="B24" s="203" t="s">
        <v>290</v>
      </c>
      <c r="C24" s="204" t="s">
        <v>291</v>
      </c>
      <c r="D24" s="152">
        <f t="shared" ref="D24:D31" si="13">E24+F24+J24+N24+O24+P24</f>
        <v>658.1762231137792</v>
      </c>
      <c r="E24" s="153">
        <f t="shared" ref="E24:P24" si="14">SUM(E25:E27)</f>
        <v>108.81867543801334</v>
      </c>
      <c r="F24" s="154">
        <f t="shared" si="14"/>
        <v>182.75160301402966</v>
      </c>
      <c r="G24" s="155">
        <f t="shared" si="14"/>
        <v>38.355699019460353</v>
      </c>
      <c r="H24" s="156">
        <f t="shared" si="14"/>
        <v>20.292096214383136</v>
      </c>
      <c r="I24" s="157">
        <f t="shared" si="14"/>
        <v>124.10380778018616</v>
      </c>
      <c r="J24" s="154">
        <f t="shared" si="14"/>
        <v>282.94020009372076</v>
      </c>
      <c r="K24" s="155">
        <f t="shared" si="14"/>
        <v>183.68836112023195</v>
      </c>
      <c r="L24" s="156">
        <f t="shared" si="14"/>
        <v>78.021645192430981</v>
      </c>
      <c r="M24" s="156">
        <f t="shared" si="14"/>
        <v>21.230193781057849</v>
      </c>
      <c r="N24" s="152">
        <f t="shared" si="14"/>
        <v>14.412556898886336</v>
      </c>
      <c r="O24" s="153">
        <f t="shared" si="14"/>
        <v>0</v>
      </c>
      <c r="P24" s="203">
        <f t="shared" si="14"/>
        <v>69.253187669129005</v>
      </c>
      <c r="S24" s="122"/>
      <c r="T24" s="122"/>
      <c r="U24" s="205"/>
    </row>
    <row r="25" spans="1:21" s="1" customFormat="1" x14ac:dyDescent="0.25">
      <c r="B25" s="206" t="s">
        <v>292</v>
      </c>
      <c r="C25" s="207" t="s">
        <v>293</v>
      </c>
      <c r="D25" s="208">
        <f t="shared" si="13"/>
        <v>471.0530070812614</v>
      </c>
      <c r="E25" s="209">
        <f>E29-E30-E31-E35-E38-E39-E58-E59-E89</f>
        <v>86.019067428571432</v>
      </c>
      <c r="F25" s="206">
        <f t="shared" ref="F25:F30" si="15">SUM(G25:I25)</f>
        <v>122.61301899141537</v>
      </c>
      <c r="G25" s="210">
        <f>G29-G30-G31-G35-G38-G39-G58-G59-G89</f>
        <v>22.791773083584534</v>
      </c>
      <c r="H25" s="211">
        <f>H29-H30-H31-H35-H38-H39-H58-H59-H89</f>
        <v>10.117890059182965</v>
      </c>
      <c r="I25" s="212">
        <f>I29-I30-I31-I35-I38-I39-I58-I59-I89</f>
        <v>89.703355848647874</v>
      </c>
      <c r="J25" s="206">
        <f t="shared" ref="J25:J56" si="16">SUM(K25:M25)</f>
        <v>197.98080776145315</v>
      </c>
      <c r="K25" s="210">
        <f t="shared" ref="K25:P25" si="17">K29-K30-K31-K35-K38-K39-K58-K59-K89</f>
        <v>127.56750537439612</v>
      </c>
      <c r="L25" s="211">
        <f t="shared" si="17"/>
        <v>56.31261808911173</v>
      </c>
      <c r="M25" s="211">
        <f t="shared" si="17"/>
        <v>14.100684297945303</v>
      </c>
      <c r="N25" s="208">
        <f t="shared" si="17"/>
        <v>11.573689746562993</v>
      </c>
      <c r="O25" s="209">
        <f t="shared" si="17"/>
        <v>0</v>
      </c>
      <c r="P25" s="206">
        <f t="shared" si="17"/>
        <v>52.866423153258459</v>
      </c>
      <c r="S25" s="122"/>
      <c r="T25" s="122"/>
      <c r="U25" s="205"/>
    </row>
    <row r="26" spans="1:21" s="1" customFormat="1" x14ac:dyDescent="0.25">
      <c r="B26" s="206" t="s">
        <v>294</v>
      </c>
      <c r="C26" s="213" t="s">
        <v>295</v>
      </c>
      <c r="D26" s="214">
        <f t="shared" si="13"/>
        <v>53.102224350931017</v>
      </c>
      <c r="E26" s="215">
        <f>E90-E92-E140</f>
        <v>1.2005904404333692</v>
      </c>
      <c r="F26" s="216">
        <f t="shared" si="15"/>
        <v>22.179643476517818</v>
      </c>
      <c r="G26" s="217">
        <f>G90-G92-G140</f>
        <v>7.2016265581268302</v>
      </c>
      <c r="H26" s="218">
        <f>H90-H92-H140</f>
        <v>6.0532185232583284</v>
      </c>
      <c r="I26" s="219">
        <f>I90-I92-I140</f>
        <v>8.9247983951326599</v>
      </c>
      <c r="J26" s="216">
        <f t="shared" si="16"/>
        <v>27.147607771811572</v>
      </c>
      <c r="K26" s="217">
        <f t="shared" ref="K26:P26" si="18">K90-K92-K140</f>
        <v>18.343810112494669</v>
      </c>
      <c r="L26" s="218">
        <f t="shared" si="18"/>
        <v>5.8956222873388144</v>
      </c>
      <c r="M26" s="218">
        <f t="shared" si="18"/>
        <v>2.9081753719780896</v>
      </c>
      <c r="N26" s="214">
        <f t="shared" si="18"/>
        <v>0</v>
      </c>
      <c r="O26" s="215">
        <f t="shared" si="18"/>
        <v>0</v>
      </c>
      <c r="P26" s="216">
        <f t="shared" si="18"/>
        <v>2.5743826621682535</v>
      </c>
    </row>
    <row r="27" spans="1:21" s="1" customFormat="1" ht="15.75" thickBot="1" x14ac:dyDescent="0.3">
      <c r="B27" s="206" t="s">
        <v>296</v>
      </c>
      <c r="C27" s="220" t="s">
        <v>297</v>
      </c>
      <c r="D27" s="221">
        <f t="shared" si="13"/>
        <v>134.02099168158668</v>
      </c>
      <c r="E27" s="222">
        <f>E186</f>
        <v>21.599017569008538</v>
      </c>
      <c r="F27" s="223">
        <f t="shared" si="15"/>
        <v>37.958940546096464</v>
      </c>
      <c r="G27" s="224">
        <f>G186</f>
        <v>8.3622993777489896</v>
      </c>
      <c r="H27" s="225">
        <f>H186</f>
        <v>4.1209876319418459</v>
      </c>
      <c r="I27" s="226">
        <f>I186</f>
        <v>25.475653536405627</v>
      </c>
      <c r="J27" s="223">
        <f t="shared" si="16"/>
        <v>57.81178456045604</v>
      </c>
      <c r="K27" s="224">
        <f t="shared" ref="K27:P27" si="19">K186</f>
        <v>37.777045633341146</v>
      </c>
      <c r="L27" s="225">
        <f t="shared" si="19"/>
        <v>15.813404815980435</v>
      </c>
      <c r="M27" s="225">
        <f t="shared" si="19"/>
        <v>4.2213341111344587</v>
      </c>
      <c r="N27" s="221">
        <f t="shared" si="19"/>
        <v>2.8388671523233429</v>
      </c>
      <c r="O27" s="222">
        <f t="shared" si="19"/>
        <v>0</v>
      </c>
      <c r="P27" s="223">
        <f t="shared" si="19"/>
        <v>13.812381853702297</v>
      </c>
    </row>
    <row r="28" spans="1:21" s="1" customFormat="1" ht="16.5" thickTop="1" thickBot="1" x14ac:dyDescent="0.3">
      <c r="B28" s="203" t="s">
        <v>298</v>
      </c>
      <c r="C28" s="204" t="s">
        <v>299</v>
      </c>
      <c r="D28" s="196">
        <f t="shared" si="13"/>
        <v>119.33299857239827</v>
      </c>
      <c r="E28" s="197">
        <f>E30+E31+E35+E38+E39+E58+E59+E89+E92+E140</f>
        <v>2.6539822780641443E-4</v>
      </c>
      <c r="F28" s="195">
        <f t="shared" si="15"/>
        <v>55.489944596335008</v>
      </c>
      <c r="G28" s="198">
        <f>G30+G31+G35+G38+G39+G58+G59+G89+G92+G140</f>
        <v>51.624232581705165</v>
      </c>
      <c r="H28" s="199">
        <f>H30+H31+H35+H38+H39+H58+H59+H89+H92+H140</f>
        <v>2.8641749097536318</v>
      </c>
      <c r="I28" s="200">
        <f>I30+I31+I35+I38+I39+I58+I59+I89+I92+I140</f>
        <v>1.0015371048762116</v>
      </c>
      <c r="J28" s="195">
        <f t="shared" si="16"/>
        <v>61.257580475973285</v>
      </c>
      <c r="K28" s="198">
        <f t="shared" ref="K28:P28" si="20">K30+K31+K35+K38+K39+K58+K59+K89+K92+K140</f>
        <v>13.080019606674147</v>
      </c>
      <c r="L28" s="199">
        <f t="shared" si="20"/>
        <v>45.970035210816036</v>
      </c>
      <c r="M28" s="199">
        <f t="shared" si="20"/>
        <v>2.2075256584831</v>
      </c>
      <c r="N28" s="196">
        <f t="shared" si="20"/>
        <v>0</v>
      </c>
      <c r="O28" s="197">
        <f t="shared" si="20"/>
        <v>0</v>
      </c>
      <c r="P28" s="195">
        <f t="shared" si="20"/>
        <v>2.5852081018621704</v>
      </c>
    </row>
    <row r="29" spans="1:21" s="1" customFormat="1" ht="45" customHeight="1" thickTop="1" thickBot="1" x14ac:dyDescent="0.3">
      <c r="B29" s="134" t="s">
        <v>53</v>
      </c>
      <c r="C29" s="135" t="s">
        <v>300</v>
      </c>
      <c r="D29" s="227">
        <f t="shared" si="13"/>
        <v>589.92367188300375</v>
      </c>
      <c r="E29" s="228">
        <f>E30+E31+E34+E37+E40+E43+E45+E51+E52+E57+E63+E66+E81+E82</f>
        <v>86.019067428571432</v>
      </c>
      <c r="F29" s="134">
        <f t="shared" si="15"/>
        <v>177.94415883599129</v>
      </c>
      <c r="G29" s="229">
        <f>G30+G31+G34+G37+G40+G43+G45+G51+G52+G57+G63+G66+G81+G82</f>
        <v>74.411074045129951</v>
      </c>
      <c r="H29" s="230">
        <f>H30+H31+H34+H37+H40+H43+H45+H51+H52+H57+H63+H66+H81+H82</f>
        <v>12.965709702330985</v>
      </c>
      <c r="I29" s="231">
        <f>I30+I31+I34+I37+I40+I43+I45+I51+I52+I57+I63+I66+I81+I82</f>
        <v>90.567375088530355</v>
      </c>
      <c r="J29" s="134">
        <f t="shared" si="16"/>
        <v>258.95101271861949</v>
      </c>
      <c r="K29" s="229">
        <f t="shared" ref="K29:P29" si="21">K30+K31+K34+K37+K40+K43+K45+K51+K52+K57+K63+K66+K81+K82</f>
        <v>140.39576752874856</v>
      </c>
      <c r="L29" s="230">
        <f t="shared" si="21"/>
        <v>102.24726210831949</v>
      </c>
      <c r="M29" s="230">
        <f t="shared" si="21"/>
        <v>16.30798308155147</v>
      </c>
      <c r="N29" s="227">
        <f t="shared" si="21"/>
        <v>11.573689746562993</v>
      </c>
      <c r="O29" s="228">
        <f t="shared" si="21"/>
        <v>0</v>
      </c>
      <c r="P29" s="134">
        <f t="shared" si="21"/>
        <v>55.435743153258457</v>
      </c>
      <c r="Q29" s="232"/>
      <c r="R29" s="232"/>
      <c r="S29" s="205"/>
    </row>
    <row r="30" spans="1:21" s="1" customFormat="1" ht="16.5" thickTop="1" thickBot="1" x14ac:dyDescent="0.3">
      <c r="B30" s="142" t="s">
        <v>55</v>
      </c>
      <c r="C30" s="143" t="s">
        <v>269</v>
      </c>
      <c r="D30" s="144">
        <f t="shared" si="13"/>
        <v>0</v>
      </c>
      <c r="E30" s="145">
        <v>0</v>
      </c>
      <c r="F30" s="146">
        <f t="shared" si="15"/>
        <v>0</v>
      </c>
      <c r="G30" s="233">
        <v>0</v>
      </c>
      <c r="H30" s="234">
        <v>0</v>
      </c>
      <c r="I30" s="235">
        <v>0</v>
      </c>
      <c r="J30" s="154">
        <f t="shared" si="16"/>
        <v>0</v>
      </c>
      <c r="K30" s="233">
        <v>0</v>
      </c>
      <c r="L30" s="234">
        <v>0</v>
      </c>
      <c r="M30" s="234">
        <v>0</v>
      </c>
      <c r="N30" s="236">
        <v>0</v>
      </c>
      <c r="O30" s="237">
        <v>0</v>
      </c>
      <c r="P30" s="238">
        <v>0</v>
      </c>
    </row>
    <row r="31" spans="1:21" s="1" customFormat="1" x14ac:dyDescent="0.25">
      <c r="B31" s="150" t="s">
        <v>141</v>
      </c>
      <c r="C31" s="239" t="s">
        <v>270</v>
      </c>
      <c r="D31" s="152">
        <f t="shared" si="13"/>
        <v>0</v>
      </c>
      <c r="E31" s="153">
        <f>SUM(E32:E33)</f>
        <v>0</v>
      </c>
      <c r="F31" s="154">
        <v>0</v>
      </c>
      <c r="G31" s="155">
        <f>SUM(G32:G33)</f>
        <v>0</v>
      </c>
      <c r="H31" s="156">
        <f>SUM(H32:H33)</f>
        <v>0</v>
      </c>
      <c r="I31" s="157">
        <f>SUM(I32:I33)</f>
        <v>0</v>
      </c>
      <c r="J31" s="154">
        <f t="shared" si="16"/>
        <v>0</v>
      </c>
      <c r="K31" s="155">
        <f>SUM(K32:K33)</f>
        <v>0</v>
      </c>
      <c r="L31" s="156">
        <f>SUM(L32:L33)</f>
        <v>0</v>
      </c>
      <c r="M31" s="156">
        <f>SUM(M32:M33)</f>
        <v>0</v>
      </c>
      <c r="N31" s="152">
        <f>SUM(N32:N33)</f>
        <v>0</v>
      </c>
      <c r="O31" s="153">
        <v>0</v>
      </c>
      <c r="P31" s="154">
        <v>0</v>
      </c>
    </row>
    <row r="32" spans="1:21" s="1" customFormat="1" x14ac:dyDescent="0.25">
      <c r="B32" s="167" t="s">
        <v>143</v>
      </c>
      <c r="C32" s="168" t="s">
        <v>270</v>
      </c>
      <c r="D32" s="208">
        <f>J32+N32</f>
        <v>0</v>
      </c>
      <c r="E32" s="240">
        <v>0</v>
      </c>
      <c r="F32" s="241">
        <v>0</v>
      </c>
      <c r="G32" s="242">
        <v>0</v>
      </c>
      <c r="H32" s="97">
        <v>0</v>
      </c>
      <c r="I32" s="243">
        <v>0</v>
      </c>
      <c r="J32" s="206">
        <f t="shared" si="16"/>
        <v>0</v>
      </c>
      <c r="K32" s="242">
        <v>0</v>
      </c>
      <c r="L32" s="97">
        <v>0</v>
      </c>
      <c r="M32" s="97">
        <v>0</v>
      </c>
      <c r="N32" s="244">
        <v>0</v>
      </c>
      <c r="O32" s="240">
        <v>0</v>
      </c>
      <c r="P32" s="241">
        <v>0</v>
      </c>
    </row>
    <row r="33" spans="2:19" s="1" customFormat="1" ht="15.75" thickBot="1" x14ac:dyDescent="0.3">
      <c r="B33" s="167" t="s">
        <v>145</v>
      </c>
      <c r="C33" s="168" t="s">
        <v>301</v>
      </c>
      <c r="D33" s="208">
        <f>J33+N33</f>
        <v>0</v>
      </c>
      <c r="E33" s="240">
        <v>0</v>
      </c>
      <c r="F33" s="241">
        <v>0</v>
      </c>
      <c r="G33" s="242">
        <v>0</v>
      </c>
      <c r="H33" s="97">
        <v>0</v>
      </c>
      <c r="I33" s="243">
        <v>0</v>
      </c>
      <c r="J33" s="206">
        <f t="shared" si="16"/>
        <v>0</v>
      </c>
      <c r="K33" s="242">
        <v>0</v>
      </c>
      <c r="L33" s="97">
        <v>0</v>
      </c>
      <c r="M33" s="97">
        <v>0</v>
      </c>
      <c r="N33" s="244">
        <v>0</v>
      </c>
      <c r="O33" s="240">
        <v>0</v>
      </c>
      <c r="P33" s="241">
        <v>0</v>
      </c>
    </row>
    <row r="34" spans="2:19" s="1" customFormat="1" x14ac:dyDescent="0.25">
      <c r="B34" s="150" t="s">
        <v>302</v>
      </c>
      <c r="C34" s="239" t="s">
        <v>303</v>
      </c>
      <c r="D34" s="152">
        <f t="shared" ref="D34:D65" si="22">E34+F34+J34+N34+O34+P34</f>
        <v>97.243940000000009</v>
      </c>
      <c r="E34" s="153">
        <f>E35+E36</f>
        <v>0</v>
      </c>
      <c r="F34" s="154">
        <f>F35+F36</f>
        <v>33.257440000000003</v>
      </c>
      <c r="G34" s="155">
        <f>G35+G36</f>
        <v>29.41244</v>
      </c>
      <c r="H34" s="156">
        <f>H35+H36</f>
        <v>2.9360999999999997</v>
      </c>
      <c r="I34" s="157">
        <f>I35+I36</f>
        <v>0.90890000000000004</v>
      </c>
      <c r="J34" s="154">
        <f t="shared" si="16"/>
        <v>62.704800000000006</v>
      </c>
      <c r="K34" s="155">
        <f t="shared" ref="K34:P34" si="23">SUM(K35:K36)</f>
        <v>15.360010000000001</v>
      </c>
      <c r="L34" s="156">
        <f t="shared" si="23"/>
        <v>46.620480000000001</v>
      </c>
      <c r="M34" s="156">
        <f t="shared" si="23"/>
        <v>0.72431000000000001</v>
      </c>
      <c r="N34" s="152">
        <f t="shared" si="23"/>
        <v>0</v>
      </c>
      <c r="O34" s="153">
        <f t="shared" si="23"/>
        <v>0</v>
      </c>
      <c r="P34" s="154">
        <f t="shared" si="23"/>
        <v>1.2817000000000001</v>
      </c>
      <c r="S34" s="205"/>
    </row>
    <row r="35" spans="2:19" s="1" customFormat="1" ht="33" customHeight="1" x14ac:dyDescent="0.25">
      <c r="B35" s="167" t="s">
        <v>304</v>
      </c>
      <c r="C35" s="168" t="s">
        <v>272</v>
      </c>
      <c r="D35" s="208">
        <f t="shared" si="22"/>
        <v>89.753154801742284</v>
      </c>
      <c r="E35" s="245">
        <v>0</v>
      </c>
      <c r="F35" s="206">
        <f t="shared" ref="F35:F66" si="24">SUM(G35:I35)</f>
        <v>32.078589844575909</v>
      </c>
      <c r="G35" s="242">
        <v>28.366240961545412</v>
      </c>
      <c r="H35" s="97">
        <v>2.8483296431480194</v>
      </c>
      <c r="I35" s="243">
        <v>0.86401923988247564</v>
      </c>
      <c r="J35" s="206">
        <f t="shared" si="16"/>
        <v>57.674564957166375</v>
      </c>
      <c r="K35" s="242">
        <v>12.828262154352451</v>
      </c>
      <c r="L35" s="97">
        <v>44.450784019207759</v>
      </c>
      <c r="M35" s="97">
        <v>0.3955187836061656</v>
      </c>
      <c r="N35" s="244">
        <v>0</v>
      </c>
      <c r="O35" s="240">
        <v>0</v>
      </c>
      <c r="P35" s="241">
        <v>0</v>
      </c>
    </row>
    <row r="36" spans="2:19" s="1" customFormat="1" ht="26.25" customHeight="1" thickBot="1" x14ac:dyDescent="0.3">
      <c r="B36" s="167" t="s">
        <v>305</v>
      </c>
      <c r="C36" s="168" t="s">
        <v>306</v>
      </c>
      <c r="D36" s="208">
        <f t="shared" si="22"/>
        <v>7.4907851982577203</v>
      </c>
      <c r="E36" s="240">
        <v>0</v>
      </c>
      <c r="F36" s="206">
        <f t="shared" si="24"/>
        <v>1.1788501554240918</v>
      </c>
      <c r="G36" s="242">
        <v>1.0461990384545869</v>
      </c>
      <c r="H36" s="246">
        <v>8.7770356851980341E-2</v>
      </c>
      <c r="I36" s="247">
        <v>4.4880760117524406E-2</v>
      </c>
      <c r="J36" s="206">
        <f t="shared" si="16"/>
        <v>5.0302350428336284</v>
      </c>
      <c r="K36" s="248">
        <v>2.53174784564755</v>
      </c>
      <c r="L36" s="246">
        <v>2.1696959807922442</v>
      </c>
      <c r="M36" s="246">
        <v>0.32879121639383435</v>
      </c>
      <c r="N36" s="244">
        <v>0</v>
      </c>
      <c r="O36" s="240">
        <v>0</v>
      </c>
      <c r="P36" s="241">
        <v>1.2817000000000001</v>
      </c>
    </row>
    <row r="37" spans="2:19" s="1" customFormat="1" x14ac:dyDescent="0.25">
      <c r="B37" s="150" t="s">
        <v>307</v>
      </c>
      <c r="C37" s="239" t="s">
        <v>273</v>
      </c>
      <c r="D37" s="152">
        <f t="shared" si="22"/>
        <v>4.3754500000000007</v>
      </c>
      <c r="E37" s="153">
        <f>E38+E39</f>
        <v>0</v>
      </c>
      <c r="F37" s="154">
        <f t="shared" si="24"/>
        <v>-5.1000000000000004E-4</v>
      </c>
      <c r="G37" s="155">
        <f>G38</f>
        <v>0</v>
      </c>
      <c r="H37" s="156">
        <f>H38</f>
        <v>-5.1000000000000004E-4</v>
      </c>
      <c r="I37" s="157">
        <f>I38</f>
        <v>0</v>
      </c>
      <c r="J37" s="154">
        <f t="shared" si="16"/>
        <v>1.80664</v>
      </c>
      <c r="K37" s="155">
        <f t="shared" ref="K37:P37" si="25">SUM(K38:K39)</f>
        <v>0</v>
      </c>
      <c r="L37" s="156">
        <f t="shared" si="25"/>
        <v>-5.1399999999999996E-3</v>
      </c>
      <c r="M37" s="156">
        <f t="shared" si="25"/>
        <v>1.8117799999999999</v>
      </c>
      <c r="N37" s="152">
        <f t="shared" si="25"/>
        <v>0</v>
      </c>
      <c r="O37" s="153">
        <f t="shared" si="25"/>
        <v>0</v>
      </c>
      <c r="P37" s="154">
        <f t="shared" si="25"/>
        <v>2.5693200000000003</v>
      </c>
    </row>
    <row r="38" spans="2:19" s="1" customFormat="1" x14ac:dyDescent="0.25">
      <c r="B38" s="167" t="s">
        <v>308</v>
      </c>
      <c r="C38" s="168" t="s">
        <v>309</v>
      </c>
      <c r="D38" s="208">
        <f t="shared" si="22"/>
        <v>4.3754500000000007</v>
      </c>
      <c r="E38" s="245">
        <v>0</v>
      </c>
      <c r="F38" s="206">
        <f t="shared" si="24"/>
        <v>-5.1000000000000004E-4</v>
      </c>
      <c r="G38" s="248">
        <v>0</v>
      </c>
      <c r="H38" s="246">
        <v>-5.1000000000000004E-4</v>
      </c>
      <c r="I38" s="247">
        <v>0</v>
      </c>
      <c r="J38" s="206">
        <f t="shared" si="16"/>
        <v>1.80664</v>
      </c>
      <c r="K38" s="248">
        <v>0</v>
      </c>
      <c r="L38" s="246">
        <v>-5.1399999999999996E-3</v>
      </c>
      <c r="M38" s="246">
        <v>1.8117799999999999</v>
      </c>
      <c r="N38" s="249">
        <v>0</v>
      </c>
      <c r="O38" s="240">
        <v>0</v>
      </c>
      <c r="P38" s="241">
        <v>2.5693200000000003</v>
      </c>
    </row>
    <row r="39" spans="2:19" s="1" customFormat="1" ht="15.75" thickBot="1" x14ac:dyDescent="0.3">
      <c r="B39" s="167" t="s">
        <v>310</v>
      </c>
      <c r="C39" s="168" t="s">
        <v>311</v>
      </c>
      <c r="D39" s="208">
        <f t="shared" si="22"/>
        <v>0</v>
      </c>
      <c r="E39" s="245">
        <v>0</v>
      </c>
      <c r="F39" s="206">
        <f t="shared" si="24"/>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2"/>
        <v>12.730619999999998</v>
      </c>
      <c r="E40" s="153">
        <f>SUM(E41:E42)</f>
        <v>1.82629</v>
      </c>
      <c r="F40" s="154">
        <f t="shared" si="24"/>
        <v>0</v>
      </c>
      <c r="G40" s="155">
        <f>SUM(G41:G42)</f>
        <v>0</v>
      </c>
      <c r="H40" s="156">
        <f>SUM(H41:H42)</f>
        <v>0</v>
      </c>
      <c r="I40" s="157">
        <f>SUM(I41:I42)</f>
        <v>0</v>
      </c>
      <c r="J40" s="154">
        <f t="shared" si="16"/>
        <v>1.0390299999999999</v>
      </c>
      <c r="K40" s="155">
        <f t="shared" ref="K40:P40" si="26">SUM(K41:K42)</f>
        <v>0</v>
      </c>
      <c r="L40" s="156">
        <f t="shared" si="26"/>
        <v>0</v>
      </c>
      <c r="M40" s="156">
        <f t="shared" si="26"/>
        <v>1.0390299999999999</v>
      </c>
      <c r="N40" s="152">
        <f t="shared" si="26"/>
        <v>0</v>
      </c>
      <c r="O40" s="153">
        <f t="shared" si="26"/>
        <v>0</v>
      </c>
      <c r="P40" s="154">
        <f t="shared" si="26"/>
        <v>9.8652999999999995</v>
      </c>
    </row>
    <row r="41" spans="2:19" s="1" customFormat="1" ht="31.5" customHeight="1" x14ac:dyDescent="0.25">
      <c r="B41" s="167" t="s">
        <v>314</v>
      </c>
      <c r="C41" s="168" t="s">
        <v>315</v>
      </c>
      <c r="D41" s="208">
        <f t="shared" si="22"/>
        <v>10.650090000000001</v>
      </c>
      <c r="E41" s="240">
        <v>0</v>
      </c>
      <c r="F41" s="206">
        <f t="shared" si="24"/>
        <v>0</v>
      </c>
      <c r="G41" s="242">
        <v>0</v>
      </c>
      <c r="H41" s="97">
        <v>0</v>
      </c>
      <c r="I41" s="243">
        <v>0</v>
      </c>
      <c r="J41" s="206">
        <f t="shared" si="16"/>
        <v>1.0390299999999999</v>
      </c>
      <c r="K41" s="242">
        <v>0</v>
      </c>
      <c r="L41" s="97">
        <v>0</v>
      </c>
      <c r="M41" s="97">
        <v>1.0390299999999999</v>
      </c>
      <c r="N41" s="244">
        <v>0</v>
      </c>
      <c r="O41" s="240">
        <v>0</v>
      </c>
      <c r="P41" s="241">
        <v>9.6110600000000002</v>
      </c>
    </row>
    <row r="42" spans="2:19" s="1" customFormat="1" ht="15.75" thickBot="1" x14ac:dyDescent="0.3">
      <c r="B42" s="167" t="s">
        <v>316</v>
      </c>
      <c r="C42" s="168" t="s">
        <v>317</v>
      </c>
      <c r="D42" s="208">
        <f t="shared" si="22"/>
        <v>2.08053</v>
      </c>
      <c r="E42" s="240">
        <v>1.82629</v>
      </c>
      <c r="F42" s="206">
        <f t="shared" si="24"/>
        <v>0</v>
      </c>
      <c r="G42" s="242">
        <v>0</v>
      </c>
      <c r="H42" s="97">
        <v>0</v>
      </c>
      <c r="I42" s="243">
        <v>0</v>
      </c>
      <c r="J42" s="206">
        <f t="shared" si="16"/>
        <v>0</v>
      </c>
      <c r="K42" s="242">
        <v>0</v>
      </c>
      <c r="L42" s="97">
        <v>0</v>
      </c>
      <c r="M42" s="97">
        <v>0</v>
      </c>
      <c r="N42" s="244">
        <v>0</v>
      </c>
      <c r="O42" s="240">
        <v>0</v>
      </c>
      <c r="P42" s="241">
        <v>0.25424000000000002</v>
      </c>
    </row>
    <row r="43" spans="2:19" s="1" customFormat="1" x14ac:dyDescent="0.25">
      <c r="B43" s="150" t="s">
        <v>318</v>
      </c>
      <c r="C43" s="239" t="s">
        <v>319</v>
      </c>
      <c r="D43" s="152">
        <f t="shared" si="22"/>
        <v>5.3032899999999996</v>
      </c>
      <c r="E43" s="153">
        <f>E44</f>
        <v>0</v>
      </c>
      <c r="F43" s="154">
        <f t="shared" si="24"/>
        <v>0</v>
      </c>
      <c r="G43" s="155">
        <f>G44</f>
        <v>0</v>
      </c>
      <c r="H43" s="156">
        <f>H44</f>
        <v>0</v>
      </c>
      <c r="I43" s="157">
        <f>I44</f>
        <v>0</v>
      </c>
      <c r="J43" s="154">
        <f t="shared" si="16"/>
        <v>0</v>
      </c>
      <c r="K43" s="155">
        <f t="shared" ref="K43:P43" si="27">K44</f>
        <v>0</v>
      </c>
      <c r="L43" s="156">
        <f t="shared" si="27"/>
        <v>0</v>
      </c>
      <c r="M43" s="156">
        <f t="shared" si="27"/>
        <v>0</v>
      </c>
      <c r="N43" s="152">
        <f t="shared" si="27"/>
        <v>0</v>
      </c>
      <c r="O43" s="153">
        <f t="shared" si="27"/>
        <v>0</v>
      </c>
      <c r="P43" s="154">
        <f t="shared" si="27"/>
        <v>5.3032899999999996</v>
      </c>
    </row>
    <row r="44" spans="2:19" s="1" customFormat="1" ht="15.75" thickBot="1" x14ac:dyDescent="0.3">
      <c r="B44" s="167" t="s">
        <v>320</v>
      </c>
      <c r="C44" s="168" t="s">
        <v>321</v>
      </c>
      <c r="D44" s="208">
        <f t="shared" si="22"/>
        <v>5.3032899999999996</v>
      </c>
      <c r="E44" s="240">
        <v>0</v>
      </c>
      <c r="F44" s="206">
        <f t="shared" si="24"/>
        <v>0</v>
      </c>
      <c r="G44" s="242">
        <v>0</v>
      </c>
      <c r="H44" s="97">
        <v>0</v>
      </c>
      <c r="I44" s="243">
        <v>0</v>
      </c>
      <c r="J44" s="206">
        <f t="shared" si="16"/>
        <v>0</v>
      </c>
      <c r="K44" s="242">
        <v>0</v>
      </c>
      <c r="L44" s="97">
        <v>0</v>
      </c>
      <c r="M44" s="97">
        <v>0</v>
      </c>
      <c r="N44" s="244">
        <v>0</v>
      </c>
      <c r="O44" s="240">
        <v>0</v>
      </c>
      <c r="P44" s="241">
        <v>5.3032899999999996</v>
      </c>
    </row>
    <row r="45" spans="2:19" s="1" customFormat="1" x14ac:dyDescent="0.25">
      <c r="B45" s="150" t="s">
        <v>322</v>
      </c>
      <c r="C45" s="239" t="s">
        <v>323</v>
      </c>
      <c r="D45" s="152">
        <f t="shared" si="22"/>
        <v>67.33632999999999</v>
      </c>
      <c r="E45" s="153">
        <f>SUM(E46:E50)</f>
        <v>27.626140000000003</v>
      </c>
      <c r="F45" s="154">
        <f t="shared" si="24"/>
        <v>15.252040000000001</v>
      </c>
      <c r="G45" s="155">
        <f>SUM(G46:G50)</f>
        <v>2.6019800000000002</v>
      </c>
      <c r="H45" s="156">
        <f>SUM(H46:H50)</f>
        <v>1.7358</v>
      </c>
      <c r="I45" s="157">
        <f>SUM(I46:I50)</f>
        <v>10.914260000000001</v>
      </c>
      <c r="J45" s="154">
        <f t="shared" si="16"/>
        <v>18.991789999999998</v>
      </c>
      <c r="K45" s="155">
        <f t="shared" ref="K45:P45" si="28">SUM(K46:K50)</f>
        <v>10.16283</v>
      </c>
      <c r="L45" s="156">
        <f t="shared" si="28"/>
        <v>6.35154</v>
      </c>
      <c r="M45" s="156">
        <f t="shared" si="28"/>
        <v>2.47742</v>
      </c>
      <c r="N45" s="152">
        <f t="shared" si="28"/>
        <v>0.18700999999999998</v>
      </c>
      <c r="O45" s="153">
        <f t="shared" si="28"/>
        <v>0</v>
      </c>
      <c r="P45" s="154">
        <f t="shared" si="28"/>
        <v>5.27935</v>
      </c>
    </row>
    <row r="46" spans="2:19" s="1" customFormat="1" x14ac:dyDescent="0.25">
      <c r="B46" s="167" t="s">
        <v>324</v>
      </c>
      <c r="C46" s="168" t="s">
        <v>277</v>
      </c>
      <c r="D46" s="208">
        <f t="shared" si="22"/>
        <v>57.695600000000006</v>
      </c>
      <c r="E46" s="240">
        <v>27.037490000000002</v>
      </c>
      <c r="F46" s="206">
        <f t="shared" si="24"/>
        <v>13.634910000000001</v>
      </c>
      <c r="G46" s="242">
        <v>2.0564800000000001</v>
      </c>
      <c r="H46" s="97">
        <v>0.66416999999999993</v>
      </c>
      <c r="I46" s="243">
        <v>10.914260000000001</v>
      </c>
      <c r="J46" s="206">
        <f t="shared" si="16"/>
        <v>11.556839999999999</v>
      </c>
      <c r="K46" s="242">
        <v>6.6136299999999997</v>
      </c>
      <c r="L46" s="97">
        <v>2.4657900000000001</v>
      </c>
      <c r="M46" s="97">
        <v>2.47742</v>
      </c>
      <c r="N46" s="244">
        <v>0.18700999999999998</v>
      </c>
      <c r="O46" s="240">
        <v>0</v>
      </c>
      <c r="P46" s="241">
        <v>5.27935</v>
      </c>
    </row>
    <row r="47" spans="2:19" s="1" customFormat="1" x14ac:dyDescent="0.25">
      <c r="B47" s="167" t="s">
        <v>325</v>
      </c>
      <c r="C47" s="168" t="s">
        <v>281</v>
      </c>
      <c r="D47" s="208">
        <f t="shared" si="22"/>
        <v>9.0520800000000001</v>
      </c>
      <c r="E47" s="240">
        <v>0</v>
      </c>
      <c r="F47" s="206">
        <f t="shared" si="24"/>
        <v>1.61713</v>
      </c>
      <c r="G47" s="242">
        <v>0.54549999999999998</v>
      </c>
      <c r="H47" s="97">
        <v>1.0716300000000001</v>
      </c>
      <c r="I47" s="243">
        <v>0</v>
      </c>
      <c r="J47" s="206">
        <f t="shared" si="16"/>
        <v>7.4349499999999997</v>
      </c>
      <c r="K47" s="242">
        <v>3.5491999999999999</v>
      </c>
      <c r="L47" s="97">
        <v>3.8857499999999998</v>
      </c>
      <c r="M47" s="97">
        <v>0</v>
      </c>
      <c r="N47" s="244">
        <v>0</v>
      </c>
      <c r="O47" s="240">
        <v>0</v>
      </c>
      <c r="P47" s="241">
        <v>0</v>
      </c>
    </row>
    <row r="48" spans="2:19" s="1" customFormat="1" x14ac:dyDescent="0.25">
      <c r="B48" s="167" t="s">
        <v>326</v>
      </c>
      <c r="C48" s="250" t="s">
        <v>327</v>
      </c>
      <c r="D48" s="208">
        <f t="shared" si="22"/>
        <v>0.58865000000000001</v>
      </c>
      <c r="E48" s="240">
        <v>0.58865000000000001</v>
      </c>
      <c r="F48" s="206">
        <f t="shared" si="24"/>
        <v>0</v>
      </c>
      <c r="G48" s="242">
        <v>0</v>
      </c>
      <c r="H48" s="97">
        <v>0</v>
      </c>
      <c r="I48" s="243">
        <v>0</v>
      </c>
      <c r="J48" s="206">
        <f t="shared" si="16"/>
        <v>0</v>
      </c>
      <c r="K48" s="242">
        <v>0</v>
      </c>
      <c r="L48" s="97">
        <v>0</v>
      </c>
      <c r="M48" s="97">
        <v>0</v>
      </c>
      <c r="N48" s="244">
        <v>0</v>
      </c>
      <c r="O48" s="240">
        <v>0</v>
      </c>
      <c r="P48" s="241">
        <v>0</v>
      </c>
    </row>
    <row r="49" spans="2:16" s="1" customFormat="1" x14ac:dyDescent="0.25">
      <c r="B49" s="167" t="s">
        <v>328</v>
      </c>
      <c r="C49" s="251" t="s">
        <v>279</v>
      </c>
      <c r="D49" s="208">
        <f t="shared" si="22"/>
        <v>0</v>
      </c>
      <c r="E49" s="240">
        <v>0</v>
      </c>
      <c r="F49" s="206">
        <f t="shared" si="24"/>
        <v>0</v>
      </c>
      <c r="G49" s="242">
        <v>0</v>
      </c>
      <c r="H49" s="97">
        <v>0</v>
      </c>
      <c r="I49" s="243">
        <v>0</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2"/>
        <v>0</v>
      </c>
      <c r="E50" s="240">
        <v>0</v>
      </c>
      <c r="F50" s="206">
        <f t="shared" si="24"/>
        <v>0</v>
      </c>
      <c r="G50" s="242">
        <v>0</v>
      </c>
      <c r="H50" s="97">
        <v>0</v>
      </c>
      <c r="I50" s="243">
        <v>0</v>
      </c>
      <c r="J50" s="206">
        <f t="shared" si="16"/>
        <v>0</v>
      </c>
      <c r="K50" s="242">
        <v>0</v>
      </c>
      <c r="L50" s="97">
        <v>0</v>
      </c>
      <c r="M50" s="97">
        <v>0</v>
      </c>
      <c r="N50" s="244">
        <v>0</v>
      </c>
      <c r="O50" s="240">
        <v>0</v>
      </c>
      <c r="P50" s="241">
        <v>0</v>
      </c>
    </row>
    <row r="51" spans="2:16" s="1" customFormat="1" ht="15.75" thickBot="1" x14ac:dyDescent="0.3">
      <c r="B51" s="150" t="s">
        <v>331</v>
      </c>
      <c r="C51" s="239" t="s">
        <v>332</v>
      </c>
      <c r="D51" s="152">
        <f t="shared" si="22"/>
        <v>125.04689188300365</v>
      </c>
      <c r="E51" s="252">
        <v>0.45102742857142858</v>
      </c>
      <c r="F51" s="154">
        <f t="shared" si="24"/>
        <v>51.694308788968371</v>
      </c>
      <c r="G51" s="253">
        <v>13.179534045129946</v>
      </c>
      <c r="H51" s="254">
        <v>2.4591197023309852</v>
      </c>
      <c r="I51" s="255">
        <v>36.055655041507435</v>
      </c>
      <c r="J51" s="154">
        <f t="shared" si="16"/>
        <v>71.75450514772561</v>
      </c>
      <c r="K51" s="253">
        <v>67.942699918861692</v>
      </c>
      <c r="L51" s="254">
        <v>3.4349946370554472</v>
      </c>
      <c r="M51" s="254">
        <v>0.3768105918084701</v>
      </c>
      <c r="N51" s="256">
        <v>0</v>
      </c>
      <c r="O51" s="257">
        <v>0</v>
      </c>
      <c r="P51" s="258">
        <v>1.147050517738238</v>
      </c>
    </row>
    <row r="52" spans="2:16" s="1" customFormat="1" x14ac:dyDescent="0.25">
      <c r="B52" s="150" t="s">
        <v>333</v>
      </c>
      <c r="C52" s="239" t="s">
        <v>334</v>
      </c>
      <c r="D52" s="152">
        <f t="shared" si="22"/>
        <v>226.37326999999999</v>
      </c>
      <c r="E52" s="153">
        <f>SUM(E53:E56)</f>
        <v>53.872189999999996</v>
      </c>
      <c r="F52" s="154">
        <f t="shared" si="24"/>
        <v>46.178940000000004</v>
      </c>
      <c r="G52" s="155">
        <f>SUM(G53:G56)</f>
        <v>5.6961399999999989</v>
      </c>
      <c r="H52" s="156">
        <f>SUM(H53:H56)</f>
        <v>5.72851</v>
      </c>
      <c r="I52" s="157">
        <f>SUM(I53:I56)</f>
        <v>34.754290000000005</v>
      </c>
      <c r="J52" s="154">
        <f t="shared" si="16"/>
        <v>94.936430000000001</v>
      </c>
      <c r="K52" s="155">
        <f t="shared" ref="K52:P52" si="29">SUM(K53:K56)</f>
        <v>44.255030000000005</v>
      </c>
      <c r="L52" s="156">
        <f t="shared" si="29"/>
        <v>40.965170000000001</v>
      </c>
      <c r="M52" s="156">
        <f t="shared" si="29"/>
        <v>9.7162300000000013</v>
      </c>
      <c r="N52" s="152">
        <f t="shared" si="29"/>
        <v>10.914470000000001</v>
      </c>
      <c r="O52" s="153">
        <f t="shared" si="29"/>
        <v>0</v>
      </c>
      <c r="P52" s="154">
        <f t="shared" si="29"/>
        <v>20.471240000000002</v>
      </c>
    </row>
    <row r="53" spans="2:16" s="1" customFormat="1" x14ac:dyDescent="0.25">
      <c r="B53" s="259" t="s">
        <v>335</v>
      </c>
      <c r="C53" s="260" t="s">
        <v>336</v>
      </c>
      <c r="D53" s="208">
        <f t="shared" si="22"/>
        <v>221.33515</v>
      </c>
      <c r="E53" s="240">
        <v>52.815069999999999</v>
      </c>
      <c r="F53" s="206">
        <f t="shared" si="24"/>
        <v>45.481970000000004</v>
      </c>
      <c r="G53" s="242">
        <v>5.6161499999999993</v>
      </c>
      <c r="H53" s="97">
        <v>5.641</v>
      </c>
      <c r="I53" s="243">
        <v>34.224820000000001</v>
      </c>
      <c r="J53" s="206">
        <f t="shared" si="16"/>
        <v>93.423400000000001</v>
      </c>
      <c r="K53" s="242">
        <v>43.570900000000002</v>
      </c>
      <c r="L53" s="97">
        <v>40.30397</v>
      </c>
      <c r="M53" s="97">
        <v>9.5485300000000013</v>
      </c>
      <c r="N53" s="244">
        <v>10.725770000000001</v>
      </c>
      <c r="O53" s="240">
        <v>0</v>
      </c>
      <c r="P53" s="241">
        <v>18.888940000000002</v>
      </c>
    </row>
    <row r="54" spans="2:16" s="1" customFormat="1" x14ac:dyDescent="0.25">
      <c r="B54" s="259" t="s">
        <v>337</v>
      </c>
      <c r="C54" s="260" t="s">
        <v>338</v>
      </c>
      <c r="D54" s="208">
        <f t="shared" si="22"/>
        <v>5.0381200000000002</v>
      </c>
      <c r="E54" s="240">
        <v>1.0571199999999998</v>
      </c>
      <c r="F54" s="206">
        <f t="shared" si="24"/>
        <v>0.69696999999999998</v>
      </c>
      <c r="G54" s="242">
        <v>7.9989999999999992E-2</v>
      </c>
      <c r="H54" s="97">
        <v>8.7510000000000004E-2</v>
      </c>
      <c r="I54" s="243">
        <v>0.52947</v>
      </c>
      <c r="J54" s="206">
        <f t="shared" si="16"/>
        <v>1.5130300000000001</v>
      </c>
      <c r="K54" s="242">
        <v>0.68413000000000002</v>
      </c>
      <c r="L54" s="97">
        <v>0.66120000000000001</v>
      </c>
      <c r="M54" s="97">
        <v>0.16769999999999999</v>
      </c>
      <c r="N54" s="244">
        <v>0.18869999999999998</v>
      </c>
      <c r="O54" s="240">
        <v>0</v>
      </c>
      <c r="P54" s="241">
        <v>1.5823000000000003</v>
      </c>
    </row>
    <row r="55" spans="2:16" s="1" customFormat="1" x14ac:dyDescent="0.25">
      <c r="B55" s="259" t="s">
        <v>339</v>
      </c>
      <c r="C55" s="260" t="s">
        <v>340</v>
      </c>
      <c r="D55" s="208">
        <f t="shared" si="22"/>
        <v>0</v>
      </c>
      <c r="E55" s="240">
        <v>0</v>
      </c>
      <c r="F55" s="206">
        <f t="shared" si="24"/>
        <v>0</v>
      </c>
      <c r="G55" s="242">
        <v>0</v>
      </c>
      <c r="H55" s="97">
        <v>0</v>
      </c>
      <c r="I55" s="243">
        <v>0</v>
      </c>
      <c r="J55" s="206">
        <f t="shared" si="16"/>
        <v>0</v>
      </c>
      <c r="K55" s="242">
        <v>0</v>
      </c>
      <c r="L55" s="97">
        <v>0</v>
      </c>
      <c r="M55" s="97">
        <v>0</v>
      </c>
      <c r="N55" s="244">
        <v>0</v>
      </c>
      <c r="O55" s="240">
        <v>0</v>
      </c>
      <c r="P55" s="241">
        <v>0</v>
      </c>
    </row>
    <row r="56" spans="2:16" s="1" customFormat="1" ht="15.75" thickBot="1" x14ac:dyDescent="0.3">
      <c r="B56" s="259" t="s">
        <v>341</v>
      </c>
      <c r="C56" s="250" t="s">
        <v>342</v>
      </c>
      <c r="D56" s="208">
        <f t="shared" si="22"/>
        <v>0</v>
      </c>
      <c r="E56" s="240">
        <v>0</v>
      </c>
      <c r="F56" s="206">
        <f t="shared" si="24"/>
        <v>0</v>
      </c>
      <c r="G56" s="242">
        <v>0</v>
      </c>
      <c r="H56" s="97">
        <v>0</v>
      </c>
      <c r="I56" s="243">
        <v>0</v>
      </c>
      <c r="J56" s="206">
        <f t="shared" si="16"/>
        <v>0</v>
      </c>
      <c r="K56" s="242">
        <v>0</v>
      </c>
      <c r="L56" s="97">
        <v>0</v>
      </c>
      <c r="M56" s="97">
        <v>0</v>
      </c>
      <c r="N56" s="244">
        <v>0</v>
      </c>
      <c r="O56" s="240">
        <v>0</v>
      </c>
      <c r="P56" s="241">
        <v>0</v>
      </c>
    </row>
    <row r="57" spans="2:16" s="1" customFormat="1" x14ac:dyDescent="0.25">
      <c r="B57" s="150" t="s">
        <v>343</v>
      </c>
      <c r="C57" s="239" t="s">
        <v>344</v>
      </c>
      <c r="D57" s="152">
        <f t="shared" si="22"/>
        <v>26.44089</v>
      </c>
      <c r="E57" s="153">
        <f>SUM(E58:E62)</f>
        <v>0</v>
      </c>
      <c r="F57" s="154">
        <f t="shared" si="24"/>
        <v>24.018320047022922</v>
      </c>
      <c r="G57" s="155">
        <f>SUM(G58:G62)</f>
        <v>23.253060000000001</v>
      </c>
      <c r="H57" s="156">
        <f>SUM(H58:H62)</f>
        <v>0</v>
      </c>
      <c r="I57" s="157">
        <f>SUM(I58:I62)</f>
        <v>0.76526004702291961</v>
      </c>
      <c r="J57" s="154">
        <f t="shared" ref="J57:J88" si="30">SUM(K57:M57)</f>
        <v>2.3325575708938757</v>
      </c>
      <c r="K57" s="155">
        <f t="shared" ref="K57:P57" si="31">SUM(K58:K62)</f>
        <v>0.49994760988683362</v>
      </c>
      <c r="L57" s="156">
        <f t="shared" si="31"/>
        <v>1.7737374712640412</v>
      </c>
      <c r="M57" s="156">
        <f t="shared" si="31"/>
        <v>5.8872489743000772E-2</v>
      </c>
      <c r="N57" s="152">
        <f t="shared" si="31"/>
        <v>5.7329746562989399E-2</v>
      </c>
      <c r="O57" s="153">
        <f t="shared" si="31"/>
        <v>0</v>
      </c>
      <c r="P57" s="154">
        <f t="shared" si="31"/>
        <v>3.268263552021522E-2</v>
      </c>
    </row>
    <row r="58" spans="2:16" s="1" customFormat="1" x14ac:dyDescent="0.25">
      <c r="B58" s="259" t="s">
        <v>345</v>
      </c>
      <c r="C58" s="260" t="s">
        <v>346</v>
      </c>
      <c r="D58" s="169">
        <f t="shared" si="22"/>
        <v>23.253060000000001</v>
      </c>
      <c r="E58" s="245">
        <v>0</v>
      </c>
      <c r="F58" s="206">
        <f t="shared" si="24"/>
        <v>23.253060000000001</v>
      </c>
      <c r="G58" s="248">
        <v>23.253060000000001</v>
      </c>
      <c r="H58" s="246">
        <v>0</v>
      </c>
      <c r="I58" s="247">
        <v>0</v>
      </c>
      <c r="J58" s="206">
        <f t="shared" si="30"/>
        <v>0</v>
      </c>
      <c r="K58" s="248">
        <v>0</v>
      </c>
      <c r="L58" s="246">
        <v>0</v>
      </c>
      <c r="M58" s="246">
        <v>0</v>
      </c>
      <c r="N58" s="249">
        <v>0</v>
      </c>
      <c r="O58" s="245">
        <v>0</v>
      </c>
      <c r="P58" s="261">
        <v>0</v>
      </c>
    </row>
    <row r="59" spans="2:16" s="1" customFormat="1" x14ac:dyDescent="0.25">
      <c r="B59" s="259" t="s">
        <v>347</v>
      </c>
      <c r="C59" s="260" t="s">
        <v>348</v>
      </c>
      <c r="D59" s="169">
        <f t="shared" si="22"/>
        <v>1.4890000000000001</v>
      </c>
      <c r="E59" s="245">
        <v>0</v>
      </c>
      <c r="F59" s="206">
        <f t="shared" si="24"/>
        <v>0</v>
      </c>
      <c r="G59" s="248">
        <v>0</v>
      </c>
      <c r="H59" s="246">
        <v>0</v>
      </c>
      <c r="I59" s="247">
        <v>0</v>
      </c>
      <c r="J59" s="206">
        <f t="shared" si="30"/>
        <v>1.4890000000000001</v>
      </c>
      <c r="K59" s="248">
        <v>0</v>
      </c>
      <c r="L59" s="246">
        <v>1.4890000000000001</v>
      </c>
      <c r="M59" s="246">
        <v>0</v>
      </c>
      <c r="N59" s="249">
        <v>0</v>
      </c>
      <c r="O59" s="245">
        <v>0</v>
      </c>
      <c r="P59" s="261">
        <v>0</v>
      </c>
    </row>
    <row r="60" spans="2:16" s="1" customFormat="1" x14ac:dyDescent="0.25">
      <c r="B60" s="259" t="s">
        <v>349</v>
      </c>
      <c r="C60" s="260" t="s">
        <v>350</v>
      </c>
      <c r="D60" s="169">
        <f t="shared" si="22"/>
        <v>0</v>
      </c>
      <c r="E60" s="245">
        <v>0</v>
      </c>
      <c r="F60" s="206">
        <f t="shared" si="24"/>
        <v>0</v>
      </c>
      <c r="G60" s="248">
        <v>0</v>
      </c>
      <c r="H60" s="246">
        <v>0</v>
      </c>
      <c r="I60" s="247">
        <v>0</v>
      </c>
      <c r="J60" s="206">
        <f t="shared" si="30"/>
        <v>0</v>
      </c>
      <c r="K60" s="248">
        <v>0</v>
      </c>
      <c r="L60" s="246">
        <v>0</v>
      </c>
      <c r="M60" s="246">
        <v>0</v>
      </c>
      <c r="N60" s="249">
        <v>0</v>
      </c>
      <c r="O60" s="245">
        <v>0</v>
      </c>
      <c r="P60" s="261">
        <v>0</v>
      </c>
    </row>
    <row r="61" spans="2:16" s="1" customFormat="1" x14ac:dyDescent="0.25">
      <c r="B61" s="259" t="s">
        <v>351</v>
      </c>
      <c r="C61" s="260" t="s">
        <v>352</v>
      </c>
      <c r="D61" s="169">
        <f t="shared" si="22"/>
        <v>0</v>
      </c>
      <c r="E61" s="245">
        <v>0</v>
      </c>
      <c r="F61" s="206">
        <f t="shared" si="24"/>
        <v>0</v>
      </c>
      <c r="G61" s="248">
        <v>0</v>
      </c>
      <c r="H61" s="246">
        <v>0</v>
      </c>
      <c r="I61" s="247">
        <v>0</v>
      </c>
      <c r="J61" s="206">
        <f t="shared" si="30"/>
        <v>0</v>
      </c>
      <c r="K61" s="248">
        <v>0</v>
      </c>
      <c r="L61" s="246">
        <v>0</v>
      </c>
      <c r="M61" s="246">
        <v>0</v>
      </c>
      <c r="N61" s="249">
        <v>0</v>
      </c>
      <c r="O61" s="245">
        <v>0</v>
      </c>
      <c r="P61" s="261">
        <v>0</v>
      </c>
    </row>
    <row r="62" spans="2:16" s="1" customFormat="1" ht="15.75" thickBot="1" x14ac:dyDescent="0.3">
      <c r="B62" s="262" t="s">
        <v>353</v>
      </c>
      <c r="C62" s="250" t="s">
        <v>354</v>
      </c>
      <c r="D62" s="177">
        <f t="shared" si="22"/>
        <v>1.6988299999999996</v>
      </c>
      <c r="E62" s="263">
        <v>0</v>
      </c>
      <c r="F62" s="216">
        <f t="shared" si="24"/>
        <v>0.76526004702291961</v>
      </c>
      <c r="G62" s="264">
        <v>0</v>
      </c>
      <c r="H62" s="265">
        <v>0</v>
      </c>
      <c r="I62" s="266">
        <v>0.76526004702291961</v>
      </c>
      <c r="J62" s="216">
        <f t="shared" si="30"/>
        <v>0.8435575708938754</v>
      </c>
      <c r="K62" s="264">
        <v>0.49994760988683362</v>
      </c>
      <c r="L62" s="265">
        <v>0.28473747126404103</v>
      </c>
      <c r="M62" s="265">
        <v>5.8872489743000772E-2</v>
      </c>
      <c r="N62" s="267">
        <v>5.7329746562989399E-2</v>
      </c>
      <c r="O62" s="263">
        <v>0</v>
      </c>
      <c r="P62" s="268">
        <v>3.268263552021522E-2</v>
      </c>
    </row>
    <row r="63" spans="2:16" s="1" customFormat="1" x14ac:dyDescent="0.25">
      <c r="B63" s="150" t="s">
        <v>355</v>
      </c>
      <c r="C63" s="239" t="s">
        <v>356</v>
      </c>
      <c r="D63" s="152">
        <f t="shared" si="22"/>
        <v>0</v>
      </c>
      <c r="E63" s="153">
        <f>E64+E65</f>
        <v>0</v>
      </c>
      <c r="F63" s="154">
        <f t="shared" si="24"/>
        <v>0</v>
      </c>
      <c r="G63" s="155">
        <f>G64+G65</f>
        <v>0</v>
      </c>
      <c r="H63" s="156">
        <f>H64+H65</f>
        <v>0</v>
      </c>
      <c r="I63" s="157">
        <f>I64+I65</f>
        <v>0</v>
      </c>
      <c r="J63" s="154">
        <f t="shared" si="30"/>
        <v>0</v>
      </c>
      <c r="K63" s="155">
        <f t="shared" ref="K63:P63" si="32">K64+K65</f>
        <v>0</v>
      </c>
      <c r="L63" s="156">
        <f t="shared" si="32"/>
        <v>0</v>
      </c>
      <c r="M63" s="156">
        <f t="shared" si="32"/>
        <v>0</v>
      </c>
      <c r="N63" s="152">
        <f t="shared" si="32"/>
        <v>0</v>
      </c>
      <c r="O63" s="153">
        <f t="shared" si="32"/>
        <v>0</v>
      </c>
      <c r="P63" s="154">
        <f t="shared" si="32"/>
        <v>0</v>
      </c>
    </row>
    <row r="64" spans="2:16" s="1" customFormat="1" x14ac:dyDescent="0.25">
      <c r="B64" s="259" t="s">
        <v>357</v>
      </c>
      <c r="C64" s="260" t="s">
        <v>358</v>
      </c>
      <c r="D64" s="169">
        <f t="shared" si="22"/>
        <v>0</v>
      </c>
      <c r="E64" s="269">
        <v>0</v>
      </c>
      <c r="F64" s="171">
        <f t="shared" si="24"/>
        <v>0</v>
      </c>
      <c r="G64" s="270">
        <v>0</v>
      </c>
      <c r="H64" s="271">
        <v>0</v>
      </c>
      <c r="I64" s="272">
        <v>0</v>
      </c>
      <c r="J64" s="171">
        <f t="shared" si="30"/>
        <v>0</v>
      </c>
      <c r="K64" s="270">
        <v>0</v>
      </c>
      <c r="L64" s="271">
        <v>0</v>
      </c>
      <c r="M64" s="271">
        <v>0</v>
      </c>
      <c r="N64" s="273">
        <v>0</v>
      </c>
      <c r="O64" s="269">
        <v>0</v>
      </c>
      <c r="P64" s="274">
        <v>0</v>
      </c>
    </row>
    <row r="65" spans="2:16" s="1" customFormat="1" ht="15.75" thickBot="1" x14ac:dyDescent="0.3">
      <c r="B65" s="262" t="s">
        <v>359</v>
      </c>
      <c r="C65" s="250" t="s">
        <v>360</v>
      </c>
      <c r="D65" s="177">
        <f t="shared" si="22"/>
        <v>0</v>
      </c>
      <c r="E65" s="275">
        <v>0</v>
      </c>
      <c r="F65" s="179">
        <f t="shared" si="24"/>
        <v>0</v>
      </c>
      <c r="G65" s="276">
        <v>0</v>
      </c>
      <c r="H65" s="277">
        <v>0</v>
      </c>
      <c r="I65" s="278">
        <v>0</v>
      </c>
      <c r="J65" s="179">
        <f t="shared" si="30"/>
        <v>0</v>
      </c>
      <c r="K65" s="276">
        <v>0</v>
      </c>
      <c r="L65" s="277">
        <v>0</v>
      </c>
      <c r="M65" s="277">
        <v>0</v>
      </c>
      <c r="N65" s="279">
        <v>0</v>
      </c>
      <c r="O65" s="275">
        <v>0</v>
      </c>
      <c r="P65" s="280">
        <v>0</v>
      </c>
    </row>
    <row r="66" spans="2:16" s="1" customFormat="1" x14ac:dyDescent="0.25">
      <c r="B66" s="150" t="s">
        <v>361</v>
      </c>
      <c r="C66" s="239" t="s">
        <v>362</v>
      </c>
      <c r="D66" s="152">
        <f t="shared" ref="D66:D82" si="33">E66+F66+J66+N66+O66+P66</f>
        <v>10.397259999999999</v>
      </c>
      <c r="E66" s="153">
        <f>SUM(E67:E80)</f>
        <v>2.24342</v>
      </c>
      <c r="F66" s="154">
        <f t="shared" si="24"/>
        <v>0.37461</v>
      </c>
      <c r="G66" s="155">
        <f>SUM(G67:G80)</f>
        <v>0.26791999999999999</v>
      </c>
      <c r="H66" s="156">
        <f>SUM(H67:H80)</f>
        <v>0.10668999999999999</v>
      </c>
      <c r="I66" s="157">
        <f>SUM(I67:I80)</f>
        <v>0</v>
      </c>
      <c r="J66" s="154">
        <f t="shared" si="30"/>
        <v>2.39506</v>
      </c>
      <c r="K66" s="155">
        <f t="shared" ref="K66:P66" si="34">SUM(K67:K80)</f>
        <v>2.1277699999999999</v>
      </c>
      <c r="L66" s="156">
        <f t="shared" si="34"/>
        <v>0.26729000000000003</v>
      </c>
      <c r="M66" s="156">
        <f t="shared" si="34"/>
        <v>0</v>
      </c>
      <c r="N66" s="152">
        <f t="shared" si="34"/>
        <v>0</v>
      </c>
      <c r="O66" s="153">
        <f t="shared" si="34"/>
        <v>0</v>
      </c>
      <c r="P66" s="154">
        <f t="shared" si="34"/>
        <v>5.3841700000000001</v>
      </c>
    </row>
    <row r="67" spans="2:16" s="1" customFormat="1" x14ac:dyDescent="0.25">
      <c r="B67" s="259" t="s">
        <v>363</v>
      </c>
      <c r="C67" s="260" t="s">
        <v>364</v>
      </c>
      <c r="D67" s="169">
        <f t="shared" si="33"/>
        <v>0</v>
      </c>
      <c r="E67" s="281">
        <v>0</v>
      </c>
      <c r="F67" s="171">
        <f t="shared" ref="F67:F97" si="35">SUM(G67:I67)</f>
        <v>0</v>
      </c>
      <c r="G67" s="270">
        <v>0</v>
      </c>
      <c r="H67" s="271">
        <v>0</v>
      </c>
      <c r="I67" s="272">
        <v>0</v>
      </c>
      <c r="J67" s="171">
        <f t="shared" si="30"/>
        <v>0</v>
      </c>
      <c r="K67" s="270">
        <v>0</v>
      </c>
      <c r="L67" s="271">
        <v>0</v>
      </c>
      <c r="M67" s="271">
        <v>0</v>
      </c>
      <c r="N67" s="273">
        <v>0</v>
      </c>
      <c r="O67" s="269">
        <v>0</v>
      </c>
      <c r="P67" s="274">
        <v>0</v>
      </c>
    </row>
    <row r="68" spans="2:16" s="1" customFormat="1" x14ac:dyDescent="0.25">
      <c r="B68" s="259" t="s">
        <v>365</v>
      </c>
      <c r="C68" s="260" t="s">
        <v>366</v>
      </c>
      <c r="D68" s="169">
        <f t="shared" si="33"/>
        <v>0</v>
      </c>
      <c r="E68" s="281">
        <v>0</v>
      </c>
      <c r="F68" s="171">
        <f t="shared" si="35"/>
        <v>0</v>
      </c>
      <c r="G68" s="270">
        <v>0</v>
      </c>
      <c r="H68" s="271">
        <v>0</v>
      </c>
      <c r="I68" s="272">
        <v>0</v>
      </c>
      <c r="J68" s="171">
        <f t="shared" si="30"/>
        <v>0</v>
      </c>
      <c r="K68" s="270">
        <v>0</v>
      </c>
      <c r="L68" s="271">
        <v>0</v>
      </c>
      <c r="M68" s="271">
        <v>0</v>
      </c>
      <c r="N68" s="273">
        <v>0</v>
      </c>
      <c r="O68" s="269">
        <v>0</v>
      </c>
      <c r="P68" s="274">
        <v>0</v>
      </c>
    </row>
    <row r="69" spans="2:16" s="1" customFormat="1" x14ac:dyDescent="0.25">
      <c r="B69" s="259" t="s">
        <v>367</v>
      </c>
      <c r="C69" s="260" t="s">
        <v>368</v>
      </c>
      <c r="D69" s="169">
        <f t="shared" si="33"/>
        <v>0</v>
      </c>
      <c r="E69" s="281">
        <v>0</v>
      </c>
      <c r="F69" s="171">
        <f t="shared" si="35"/>
        <v>0</v>
      </c>
      <c r="G69" s="270">
        <v>0</v>
      </c>
      <c r="H69" s="271">
        <v>0</v>
      </c>
      <c r="I69" s="272">
        <v>0</v>
      </c>
      <c r="J69" s="171">
        <f t="shared" si="30"/>
        <v>0</v>
      </c>
      <c r="K69" s="270">
        <v>0</v>
      </c>
      <c r="L69" s="271">
        <v>0</v>
      </c>
      <c r="M69" s="271">
        <v>0</v>
      </c>
      <c r="N69" s="273">
        <v>0</v>
      </c>
      <c r="O69" s="269">
        <v>0</v>
      </c>
      <c r="P69" s="274">
        <v>0</v>
      </c>
    </row>
    <row r="70" spans="2:16" s="1" customFormat="1" x14ac:dyDescent="0.25">
      <c r="B70" s="259" t="s">
        <v>369</v>
      </c>
      <c r="C70" s="260" t="s">
        <v>370</v>
      </c>
      <c r="D70" s="169">
        <f t="shared" si="33"/>
        <v>3.1794799999999999</v>
      </c>
      <c r="E70" s="281">
        <v>0.40981000000000001</v>
      </c>
      <c r="F70" s="171">
        <f t="shared" si="35"/>
        <v>0.37461</v>
      </c>
      <c r="G70" s="270">
        <v>0.26791999999999999</v>
      </c>
      <c r="H70" s="271">
        <v>0.10668999999999999</v>
      </c>
      <c r="I70" s="272">
        <v>0</v>
      </c>
      <c r="J70" s="171">
        <f t="shared" si="30"/>
        <v>2.39506</v>
      </c>
      <c r="K70" s="270">
        <v>2.1277699999999999</v>
      </c>
      <c r="L70" s="271">
        <v>0.26729000000000003</v>
      </c>
      <c r="M70" s="271">
        <v>0</v>
      </c>
      <c r="N70" s="273">
        <v>0</v>
      </c>
      <c r="O70" s="269">
        <v>0</v>
      </c>
      <c r="P70" s="274">
        <v>0</v>
      </c>
    </row>
    <row r="71" spans="2:16" s="1" customFormat="1" x14ac:dyDescent="0.25">
      <c r="B71" s="259" t="s">
        <v>371</v>
      </c>
      <c r="C71" s="260" t="s">
        <v>372</v>
      </c>
      <c r="D71" s="169">
        <f t="shared" si="33"/>
        <v>0</v>
      </c>
      <c r="E71" s="281">
        <v>0</v>
      </c>
      <c r="F71" s="171">
        <f t="shared" si="35"/>
        <v>0</v>
      </c>
      <c r="G71" s="270">
        <v>0</v>
      </c>
      <c r="H71" s="271">
        <v>0</v>
      </c>
      <c r="I71" s="272">
        <v>0</v>
      </c>
      <c r="J71" s="171">
        <f t="shared" si="30"/>
        <v>0</v>
      </c>
      <c r="K71" s="270">
        <v>0</v>
      </c>
      <c r="L71" s="271">
        <v>0</v>
      </c>
      <c r="M71" s="271">
        <v>0</v>
      </c>
      <c r="N71" s="273">
        <v>0</v>
      </c>
      <c r="O71" s="269">
        <v>0</v>
      </c>
      <c r="P71" s="274">
        <v>0</v>
      </c>
    </row>
    <row r="72" spans="2:16" s="1" customFormat="1" x14ac:dyDescent="0.25">
      <c r="B72" s="259" t="s">
        <v>373</v>
      </c>
      <c r="C72" s="260" t="s">
        <v>374</v>
      </c>
      <c r="D72" s="169">
        <f t="shared" si="33"/>
        <v>0</v>
      </c>
      <c r="E72" s="281">
        <v>0</v>
      </c>
      <c r="F72" s="171">
        <f t="shared" si="35"/>
        <v>0</v>
      </c>
      <c r="G72" s="270">
        <v>0</v>
      </c>
      <c r="H72" s="271">
        <v>0</v>
      </c>
      <c r="I72" s="272">
        <v>0</v>
      </c>
      <c r="J72" s="171">
        <f t="shared" si="30"/>
        <v>0</v>
      </c>
      <c r="K72" s="270">
        <v>0</v>
      </c>
      <c r="L72" s="271">
        <v>0</v>
      </c>
      <c r="M72" s="271">
        <v>0</v>
      </c>
      <c r="N72" s="273">
        <v>0</v>
      </c>
      <c r="O72" s="269">
        <v>0</v>
      </c>
      <c r="P72" s="274">
        <v>0</v>
      </c>
    </row>
    <row r="73" spans="2:16" s="1" customFormat="1" x14ac:dyDescent="0.25">
      <c r="B73" s="259" t="s">
        <v>375</v>
      </c>
      <c r="C73" s="260" t="s">
        <v>376</v>
      </c>
      <c r="D73" s="169">
        <f t="shared" si="33"/>
        <v>0</v>
      </c>
      <c r="E73" s="281">
        <v>0</v>
      </c>
      <c r="F73" s="171">
        <f t="shared" si="35"/>
        <v>0</v>
      </c>
      <c r="G73" s="270">
        <v>0</v>
      </c>
      <c r="H73" s="271">
        <v>0</v>
      </c>
      <c r="I73" s="272">
        <v>0</v>
      </c>
      <c r="J73" s="171">
        <f t="shared" si="30"/>
        <v>0</v>
      </c>
      <c r="K73" s="270">
        <v>0</v>
      </c>
      <c r="L73" s="271">
        <v>0</v>
      </c>
      <c r="M73" s="271">
        <v>0</v>
      </c>
      <c r="N73" s="273">
        <v>0</v>
      </c>
      <c r="O73" s="269">
        <v>0</v>
      </c>
      <c r="P73" s="274">
        <v>0</v>
      </c>
    </row>
    <row r="74" spans="2:16" s="1" customFormat="1" x14ac:dyDescent="0.25">
      <c r="B74" s="259" t="s">
        <v>377</v>
      </c>
      <c r="C74" s="260" t="s">
        <v>378</v>
      </c>
      <c r="D74" s="169">
        <f t="shared" si="33"/>
        <v>0</v>
      </c>
      <c r="E74" s="281">
        <v>0</v>
      </c>
      <c r="F74" s="171">
        <f t="shared" si="35"/>
        <v>0</v>
      </c>
      <c r="G74" s="270">
        <v>0</v>
      </c>
      <c r="H74" s="271">
        <v>0</v>
      </c>
      <c r="I74" s="272">
        <v>0</v>
      </c>
      <c r="J74" s="171">
        <f t="shared" si="30"/>
        <v>0</v>
      </c>
      <c r="K74" s="270">
        <v>0</v>
      </c>
      <c r="L74" s="271">
        <v>0</v>
      </c>
      <c r="M74" s="271">
        <v>0</v>
      </c>
      <c r="N74" s="273">
        <v>0</v>
      </c>
      <c r="O74" s="269">
        <v>0</v>
      </c>
      <c r="P74" s="274">
        <v>0</v>
      </c>
    </row>
    <row r="75" spans="2:16" s="1" customFormat="1" x14ac:dyDescent="0.25">
      <c r="B75" s="259" t="s">
        <v>379</v>
      </c>
      <c r="C75" s="260" t="s">
        <v>380</v>
      </c>
      <c r="D75" s="169">
        <f t="shared" si="33"/>
        <v>0</v>
      </c>
      <c r="E75" s="281">
        <v>0</v>
      </c>
      <c r="F75" s="171">
        <f t="shared" si="35"/>
        <v>0</v>
      </c>
      <c r="G75" s="270">
        <v>0</v>
      </c>
      <c r="H75" s="271">
        <v>0</v>
      </c>
      <c r="I75" s="272">
        <v>0</v>
      </c>
      <c r="J75" s="171">
        <f t="shared" si="30"/>
        <v>0</v>
      </c>
      <c r="K75" s="270">
        <v>0</v>
      </c>
      <c r="L75" s="271">
        <v>0</v>
      </c>
      <c r="M75" s="271">
        <v>0</v>
      </c>
      <c r="N75" s="273">
        <v>0</v>
      </c>
      <c r="O75" s="269">
        <v>0</v>
      </c>
      <c r="P75" s="274">
        <v>0</v>
      </c>
    </row>
    <row r="76" spans="2:16" s="1" customFormat="1" x14ac:dyDescent="0.25">
      <c r="B76" s="259" t="s">
        <v>381</v>
      </c>
      <c r="C76" s="260" t="s">
        <v>382</v>
      </c>
      <c r="D76" s="169">
        <f t="shared" si="33"/>
        <v>0</v>
      </c>
      <c r="E76" s="281">
        <v>0</v>
      </c>
      <c r="F76" s="171">
        <f t="shared" si="35"/>
        <v>0</v>
      </c>
      <c r="G76" s="270">
        <v>0</v>
      </c>
      <c r="H76" s="271">
        <v>0</v>
      </c>
      <c r="I76" s="272">
        <v>0</v>
      </c>
      <c r="J76" s="171">
        <f t="shared" si="30"/>
        <v>0</v>
      </c>
      <c r="K76" s="270">
        <v>0</v>
      </c>
      <c r="L76" s="271">
        <v>0</v>
      </c>
      <c r="M76" s="271">
        <v>0</v>
      </c>
      <c r="N76" s="273">
        <v>0</v>
      </c>
      <c r="O76" s="269">
        <v>0</v>
      </c>
      <c r="P76" s="274">
        <v>0</v>
      </c>
    </row>
    <row r="77" spans="2:16" s="1" customFormat="1" x14ac:dyDescent="0.25">
      <c r="B77" s="259" t="s">
        <v>383</v>
      </c>
      <c r="C77" s="260" t="s">
        <v>384</v>
      </c>
      <c r="D77" s="169">
        <f t="shared" si="33"/>
        <v>1.83361</v>
      </c>
      <c r="E77" s="281">
        <v>1.83361</v>
      </c>
      <c r="F77" s="171">
        <f t="shared" si="35"/>
        <v>0</v>
      </c>
      <c r="G77" s="270">
        <v>0</v>
      </c>
      <c r="H77" s="271">
        <v>0</v>
      </c>
      <c r="I77" s="272">
        <v>0</v>
      </c>
      <c r="J77" s="171">
        <f t="shared" si="30"/>
        <v>0</v>
      </c>
      <c r="K77" s="270">
        <v>0</v>
      </c>
      <c r="L77" s="271">
        <v>0</v>
      </c>
      <c r="M77" s="271">
        <v>0</v>
      </c>
      <c r="N77" s="273">
        <v>0</v>
      </c>
      <c r="O77" s="269">
        <v>0</v>
      </c>
      <c r="P77" s="274">
        <v>0</v>
      </c>
    </row>
    <row r="78" spans="2:16" s="1" customFormat="1" x14ac:dyDescent="0.25">
      <c r="B78" s="259" t="s">
        <v>385</v>
      </c>
      <c r="C78" s="260" t="s">
        <v>386</v>
      </c>
      <c r="D78" s="169">
        <f t="shared" si="33"/>
        <v>0</v>
      </c>
      <c r="E78" s="281">
        <v>0</v>
      </c>
      <c r="F78" s="171">
        <f t="shared" si="35"/>
        <v>0</v>
      </c>
      <c r="G78" s="270">
        <v>0</v>
      </c>
      <c r="H78" s="271">
        <v>0</v>
      </c>
      <c r="I78" s="272">
        <v>0</v>
      </c>
      <c r="J78" s="171">
        <f t="shared" si="30"/>
        <v>0</v>
      </c>
      <c r="K78" s="270">
        <v>0</v>
      </c>
      <c r="L78" s="271">
        <v>0</v>
      </c>
      <c r="M78" s="271">
        <v>0</v>
      </c>
      <c r="N78" s="273">
        <v>0</v>
      </c>
      <c r="O78" s="269">
        <v>0</v>
      </c>
      <c r="P78" s="274">
        <v>0</v>
      </c>
    </row>
    <row r="79" spans="2:16" s="1" customFormat="1" x14ac:dyDescent="0.25">
      <c r="B79" s="259" t="s">
        <v>387</v>
      </c>
      <c r="C79" s="260" t="s">
        <v>388</v>
      </c>
      <c r="D79" s="169">
        <f t="shared" si="33"/>
        <v>0</v>
      </c>
      <c r="E79" s="281">
        <v>0</v>
      </c>
      <c r="F79" s="171">
        <f t="shared" si="35"/>
        <v>0</v>
      </c>
      <c r="G79" s="270">
        <v>0</v>
      </c>
      <c r="H79" s="271">
        <v>0</v>
      </c>
      <c r="I79" s="272">
        <v>0</v>
      </c>
      <c r="J79" s="171">
        <f t="shared" si="30"/>
        <v>0</v>
      </c>
      <c r="K79" s="270">
        <v>0</v>
      </c>
      <c r="L79" s="271">
        <v>0</v>
      </c>
      <c r="M79" s="271">
        <v>0</v>
      </c>
      <c r="N79" s="273">
        <v>0</v>
      </c>
      <c r="O79" s="269">
        <v>0</v>
      </c>
      <c r="P79" s="274">
        <v>0</v>
      </c>
    </row>
    <row r="80" spans="2:16" s="1" customFormat="1" ht="15.75" thickBot="1" x14ac:dyDescent="0.3">
      <c r="B80" s="282" t="s">
        <v>389</v>
      </c>
      <c r="C80" s="283" t="s">
        <v>390</v>
      </c>
      <c r="D80" s="284">
        <f t="shared" si="33"/>
        <v>5.3841700000000001</v>
      </c>
      <c r="E80" s="285">
        <v>0</v>
      </c>
      <c r="F80" s="286">
        <f t="shared" si="35"/>
        <v>0</v>
      </c>
      <c r="G80" s="287">
        <v>0</v>
      </c>
      <c r="H80" s="288">
        <v>0</v>
      </c>
      <c r="I80" s="289">
        <v>0</v>
      </c>
      <c r="J80" s="286">
        <f t="shared" si="30"/>
        <v>0</v>
      </c>
      <c r="K80" s="287">
        <v>0</v>
      </c>
      <c r="L80" s="288">
        <v>0</v>
      </c>
      <c r="M80" s="288">
        <v>0</v>
      </c>
      <c r="N80" s="290">
        <v>0</v>
      </c>
      <c r="O80" s="291">
        <v>0</v>
      </c>
      <c r="P80" s="292">
        <v>5.3841700000000001</v>
      </c>
    </row>
    <row r="81" spans="1:19" s="1" customFormat="1" ht="15.75" thickBot="1" x14ac:dyDescent="0.3">
      <c r="B81" s="293" t="s">
        <v>391</v>
      </c>
      <c r="C81" s="294" t="s">
        <v>392</v>
      </c>
      <c r="D81" s="295">
        <f t="shared" si="33"/>
        <v>0</v>
      </c>
      <c r="E81" s="296">
        <v>0</v>
      </c>
      <c r="F81" s="297">
        <f t="shared" si="35"/>
        <v>0</v>
      </c>
      <c r="G81" s="298">
        <v>0</v>
      </c>
      <c r="H81" s="299">
        <v>0</v>
      </c>
      <c r="I81" s="300">
        <v>0</v>
      </c>
      <c r="J81" s="297">
        <f t="shared" si="30"/>
        <v>0</v>
      </c>
      <c r="K81" s="298">
        <v>0</v>
      </c>
      <c r="L81" s="299">
        <v>0</v>
      </c>
      <c r="M81" s="299">
        <v>0</v>
      </c>
      <c r="N81" s="301">
        <v>0</v>
      </c>
      <c r="O81" s="296">
        <v>0</v>
      </c>
      <c r="P81" s="302">
        <v>0</v>
      </c>
    </row>
    <row r="82" spans="1:19" s="1" customFormat="1" x14ac:dyDescent="0.25">
      <c r="A82" s="303"/>
      <c r="B82" s="150" t="s">
        <v>393</v>
      </c>
      <c r="C82" s="204" t="s">
        <v>394</v>
      </c>
      <c r="D82" s="152">
        <f t="shared" si="33"/>
        <v>14.67573</v>
      </c>
      <c r="E82" s="153">
        <f>SUM(E83:E89)</f>
        <v>0</v>
      </c>
      <c r="F82" s="154">
        <f t="shared" si="35"/>
        <v>7.1690100000000001</v>
      </c>
      <c r="G82" s="155">
        <f>SUM(G83:G89)</f>
        <v>0</v>
      </c>
      <c r="H82" s="156">
        <f>SUM(H83:H89)</f>
        <v>0</v>
      </c>
      <c r="I82" s="157">
        <f>SUM(I83:I89)</f>
        <v>7.1690100000000001</v>
      </c>
      <c r="J82" s="154">
        <f t="shared" si="30"/>
        <v>2.9901999999999997</v>
      </c>
      <c r="K82" s="155">
        <f t="shared" ref="K82:P82" si="36">SUM(K83:K89)</f>
        <v>4.7479999999999994E-2</v>
      </c>
      <c r="L82" s="156">
        <f t="shared" si="36"/>
        <v>2.8391899999999994</v>
      </c>
      <c r="M82" s="156">
        <f t="shared" si="36"/>
        <v>0.10353</v>
      </c>
      <c r="N82" s="152">
        <f t="shared" si="36"/>
        <v>0.41488000000000003</v>
      </c>
      <c r="O82" s="153">
        <f t="shared" si="36"/>
        <v>0</v>
      </c>
      <c r="P82" s="154">
        <f t="shared" si="36"/>
        <v>4.1016399999999997</v>
      </c>
    </row>
    <row r="83" spans="1:19" s="1" customFormat="1" x14ac:dyDescent="0.25">
      <c r="A83" s="303"/>
      <c r="B83" s="304" t="s">
        <v>395</v>
      </c>
      <c r="C83" s="305" t="s">
        <v>396</v>
      </c>
      <c r="D83" s="306">
        <f>E83+F83+J83+N83+O83+P83</f>
        <v>0</v>
      </c>
      <c r="E83" s="307">
        <v>0</v>
      </c>
      <c r="F83" s="308">
        <f t="shared" si="35"/>
        <v>0</v>
      </c>
      <c r="G83" s="309">
        <v>0</v>
      </c>
      <c r="H83" s="310">
        <v>0</v>
      </c>
      <c r="I83" s="311">
        <v>0</v>
      </c>
      <c r="J83" s="308">
        <f t="shared" si="30"/>
        <v>0</v>
      </c>
      <c r="K83" s="309">
        <v>0</v>
      </c>
      <c r="L83" s="310">
        <v>0</v>
      </c>
      <c r="M83" s="310">
        <v>0</v>
      </c>
      <c r="N83" s="312">
        <v>0</v>
      </c>
      <c r="O83" s="307">
        <v>0</v>
      </c>
      <c r="P83" s="313">
        <v>0</v>
      </c>
    </row>
    <row r="84" spans="1:19" s="1" customFormat="1" x14ac:dyDescent="0.25">
      <c r="A84" s="303"/>
      <c r="B84" s="304" t="s">
        <v>397</v>
      </c>
      <c r="C84" s="305" t="s">
        <v>398</v>
      </c>
      <c r="D84" s="306">
        <f t="shared" ref="D84:D89" si="37">E84+F84+J84+N84+O84+P84</f>
        <v>0</v>
      </c>
      <c r="E84" s="307">
        <v>0</v>
      </c>
      <c r="F84" s="308">
        <f t="shared" si="35"/>
        <v>0</v>
      </c>
      <c r="G84" s="309">
        <v>0</v>
      </c>
      <c r="H84" s="310">
        <v>0</v>
      </c>
      <c r="I84" s="311">
        <v>0</v>
      </c>
      <c r="J84" s="308">
        <f t="shared" si="30"/>
        <v>0</v>
      </c>
      <c r="K84" s="309">
        <v>0</v>
      </c>
      <c r="L84" s="310">
        <v>0</v>
      </c>
      <c r="M84" s="310">
        <v>0</v>
      </c>
      <c r="N84" s="312">
        <v>0</v>
      </c>
      <c r="O84" s="307">
        <v>0</v>
      </c>
      <c r="P84" s="313">
        <v>0</v>
      </c>
    </row>
    <row r="85" spans="1:19" s="1" customFormat="1" x14ac:dyDescent="0.25">
      <c r="A85" s="303"/>
      <c r="B85" s="314" t="s">
        <v>399</v>
      </c>
      <c r="C85" s="315" t="s">
        <v>400</v>
      </c>
      <c r="D85" s="306">
        <f t="shared" si="37"/>
        <v>10.295749999999998</v>
      </c>
      <c r="E85" s="240">
        <v>0</v>
      </c>
      <c r="F85" s="206">
        <f t="shared" si="35"/>
        <v>7.1772299999999998</v>
      </c>
      <c r="G85" s="309">
        <v>0</v>
      </c>
      <c r="H85" s="310">
        <v>0</v>
      </c>
      <c r="I85" s="311">
        <v>7.1772299999999998</v>
      </c>
      <c r="J85" s="206">
        <f t="shared" si="30"/>
        <v>2.9542699999999997</v>
      </c>
      <c r="K85" s="309">
        <v>0</v>
      </c>
      <c r="L85" s="310">
        <v>2.8507399999999996</v>
      </c>
      <c r="M85" s="310">
        <v>0.10353</v>
      </c>
      <c r="N85" s="312">
        <v>0.16425000000000001</v>
      </c>
      <c r="O85" s="307">
        <v>0</v>
      </c>
      <c r="P85" s="313">
        <v>0</v>
      </c>
    </row>
    <row r="86" spans="1:19" s="1" customFormat="1" x14ac:dyDescent="0.25">
      <c r="A86" s="303"/>
      <c r="B86" s="316" t="s">
        <v>401</v>
      </c>
      <c r="C86" s="317" t="s">
        <v>402</v>
      </c>
      <c r="D86" s="306">
        <f t="shared" si="37"/>
        <v>2.3563900000000002</v>
      </c>
      <c r="E86" s="318">
        <v>0</v>
      </c>
      <c r="F86" s="216">
        <f t="shared" si="35"/>
        <v>0</v>
      </c>
      <c r="G86" s="309">
        <v>0</v>
      </c>
      <c r="H86" s="310">
        <v>0</v>
      </c>
      <c r="I86" s="311">
        <v>0</v>
      </c>
      <c r="J86" s="216">
        <f t="shared" si="30"/>
        <v>0</v>
      </c>
      <c r="K86" s="309">
        <v>0</v>
      </c>
      <c r="L86" s="310">
        <v>0</v>
      </c>
      <c r="M86" s="310">
        <v>0</v>
      </c>
      <c r="N86" s="312">
        <v>4.4630000000000003E-2</v>
      </c>
      <c r="O86" s="307">
        <v>0</v>
      </c>
      <c r="P86" s="313">
        <v>2.31176</v>
      </c>
    </row>
    <row r="87" spans="1:19" s="1" customFormat="1" x14ac:dyDescent="0.25">
      <c r="A87" s="303"/>
      <c r="B87" s="316" t="s">
        <v>403</v>
      </c>
      <c r="C87" s="213" t="s">
        <v>404</v>
      </c>
      <c r="D87" s="306">
        <f t="shared" si="37"/>
        <v>2.02359</v>
      </c>
      <c r="E87" s="318">
        <v>0</v>
      </c>
      <c r="F87" s="216">
        <f t="shared" si="35"/>
        <v>-8.2199999999999999E-3</v>
      </c>
      <c r="G87" s="309">
        <v>0</v>
      </c>
      <c r="H87" s="310">
        <v>0</v>
      </c>
      <c r="I87" s="311">
        <v>-8.2199999999999999E-3</v>
      </c>
      <c r="J87" s="216">
        <f t="shared" si="30"/>
        <v>3.592999999999999E-2</v>
      </c>
      <c r="K87" s="309">
        <v>4.7479999999999994E-2</v>
      </c>
      <c r="L87" s="310">
        <v>-1.1550000000000001E-2</v>
      </c>
      <c r="M87" s="310">
        <v>0</v>
      </c>
      <c r="N87" s="312">
        <v>0.20599999999999999</v>
      </c>
      <c r="O87" s="307">
        <v>0</v>
      </c>
      <c r="P87" s="313">
        <v>1.7898800000000001</v>
      </c>
    </row>
    <row r="88" spans="1:19" s="1" customFormat="1" x14ac:dyDescent="0.25">
      <c r="A88" s="303"/>
      <c r="B88" s="316" t="s">
        <v>405</v>
      </c>
      <c r="C88" s="213" t="s">
        <v>406</v>
      </c>
      <c r="D88" s="306">
        <f t="shared" si="37"/>
        <v>0</v>
      </c>
      <c r="E88" s="318">
        <v>0</v>
      </c>
      <c r="F88" s="216">
        <f t="shared" si="35"/>
        <v>0</v>
      </c>
      <c r="G88" s="309">
        <v>0</v>
      </c>
      <c r="H88" s="310">
        <v>0</v>
      </c>
      <c r="I88" s="311">
        <v>0</v>
      </c>
      <c r="J88" s="216">
        <f t="shared" si="30"/>
        <v>0</v>
      </c>
      <c r="K88" s="309">
        <v>0</v>
      </c>
      <c r="L88" s="310">
        <v>0</v>
      </c>
      <c r="M88" s="310">
        <v>0</v>
      </c>
      <c r="N88" s="312">
        <v>0</v>
      </c>
      <c r="O88" s="307">
        <v>0</v>
      </c>
      <c r="P88" s="313">
        <v>0</v>
      </c>
    </row>
    <row r="89" spans="1:19" s="1" customFormat="1" ht="15.75" thickBot="1" x14ac:dyDescent="0.3">
      <c r="A89" s="303"/>
      <c r="B89" s="316" t="s">
        <v>407</v>
      </c>
      <c r="C89" s="213" t="s">
        <v>408</v>
      </c>
      <c r="D89" s="306">
        <f t="shared" si="37"/>
        <v>0</v>
      </c>
      <c r="E89" s="318">
        <v>0</v>
      </c>
      <c r="F89" s="216">
        <f t="shared" si="35"/>
        <v>0</v>
      </c>
      <c r="G89" s="319">
        <v>0</v>
      </c>
      <c r="H89" s="320">
        <v>0</v>
      </c>
      <c r="I89" s="321">
        <v>0</v>
      </c>
      <c r="J89" s="216">
        <f t="shared" ref="J89:J120" si="38">SUM(K89:M89)</f>
        <v>0</v>
      </c>
      <c r="K89" s="319">
        <v>0</v>
      </c>
      <c r="L89" s="320">
        <v>0</v>
      </c>
      <c r="M89" s="320">
        <v>0</v>
      </c>
      <c r="N89" s="322">
        <v>0</v>
      </c>
      <c r="O89" s="318">
        <v>0</v>
      </c>
      <c r="P89" s="323">
        <v>0</v>
      </c>
    </row>
    <row r="90" spans="1:19" s="1" customFormat="1" ht="42" customHeight="1" thickTop="1" thickBot="1" x14ac:dyDescent="0.3">
      <c r="A90" s="303"/>
      <c r="B90" s="134" t="s">
        <v>59</v>
      </c>
      <c r="C90" s="135" t="s">
        <v>409</v>
      </c>
      <c r="D90" s="324">
        <f>D91+D94+D97+D99+D105+D106+D111+D115+D118+D133+D134</f>
        <v>53.564558121586991</v>
      </c>
      <c r="E90" s="228">
        <f>E91+E94+E97+E99+E105+E106+E111+E115+E118+E133+E134</f>
        <v>1.2008558386611756</v>
      </c>
      <c r="F90" s="134">
        <f t="shared" si="35"/>
        <v>22.338448228276917</v>
      </c>
      <c r="G90" s="229">
        <f>G91+G94+G97+G99+G105+G106+G111+G115+G118+G133+G134</f>
        <v>7.2065581782865804</v>
      </c>
      <c r="H90" s="230">
        <f>H91+H94+H97+H99+H105+H106+H111+H115+H118+H133+H134</f>
        <v>6.0695737898639406</v>
      </c>
      <c r="I90" s="231">
        <f>I91+I94+I97+I99+I105+I106+I111+I115+I118+I133+I134</f>
        <v>9.062316260126396</v>
      </c>
      <c r="J90" s="134">
        <f t="shared" si="38"/>
        <v>27.434983290618483</v>
      </c>
      <c r="K90" s="229">
        <f t="shared" ref="K90:P90" si="39">K91+K94+K97+K99+K105+K106+K111+K115+K118+K133+K134</f>
        <v>18.595567564816363</v>
      </c>
      <c r="L90" s="230">
        <f t="shared" si="39"/>
        <v>5.9310134789470927</v>
      </c>
      <c r="M90" s="230">
        <f t="shared" si="39"/>
        <v>2.9084022468550241</v>
      </c>
      <c r="N90" s="227">
        <f t="shared" si="39"/>
        <v>0</v>
      </c>
      <c r="O90" s="228">
        <f t="shared" si="39"/>
        <v>0</v>
      </c>
      <c r="P90" s="134">
        <f t="shared" si="39"/>
        <v>2.5902707640304237</v>
      </c>
      <c r="Q90" s="325"/>
      <c r="R90" s="326"/>
    </row>
    <row r="91" spans="1:19" s="1" customFormat="1" ht="15.75" thickTop="1" x14ac:dyDescent="0.25">
      <c r="B91" s="142" t="s">
        <v>150</v>
      </c>
      <c r="C91" s="327" t="s">
        <v>303</v>
      </c>
      <c r="D91" s="328">
        <f>D92+D93</f>
        <v>0.59682000000000002</v>
      </c>
      <c r="E91" s="329">
        <f>E92+E93</f>
        <v>3.4259874656070437E-4</v>
      </c>
      <c r="F91" s="330">
        <f t="shared" si="35"/>
        <v>0.20499876487583654</v>
      </c>
      <c r="G91" s="331">
        <f>G92+G93</f>
        <v>6.3661573749329266E-3</v>
      </c>
      <c r="H91" s="332">
        <f>H92+H93</f>
        <v>2.111277790006932E-2</v>
      </c>
      <c r="I91" s="333">
        <f>I92+I93</f>
        <v>0.17751982960083429</v>
      </c>
      <c r="J91" s="330">
        <f t="shared" si="38"/>
        <v>0.37096891471066418</v>
      </c>
      <c r="K91" s="331">
        <f t="shared" ref="K91:P91" si="40">K92+K93</f>
        <v>0.3249900661192156</v>
      </c>
      <c r="L91" s="332">
        <f t="shared" si="40"/>
        <v>4.5685979083214215E-2</v>
      </c>
      <c r="M91" s="332">
        <f t="shared" si="40"/>
        <v>2.9286950823435138E-4</v>
      </c>
      <c r="N91" s="334">
        <f t="shared" si="40"/>
        <v>0</v>
      </c>
      <c r="O91" s="329">
        <f t="shared" si="40"/>
        <v>0</v>
      </c>
      <c r="P91" s="330">
        <f t="shared" si="40"/>
        <v>2.0509721666938707E-2</v>
      </c>
      <c r="Q91" s="325"/>
      <c r="R91" s="326"/>
      <c r="S91" s="205"/>
    </row>
    <row r="92" spans="1:19" s="1" customFormat="1" ht="32.25" customHeight="1" x14ac:dyDescent="0.25">
      <c r="B92" s="167" t="s">
        <v>410</v>
      </c>
      <c r="C92" s="168" t="s">
        <v>272</v>
      </c>
      <c r="D92" s="335">
        <v>0.46233377065598397</v>
      </c>
      <c r="E92" s="209">
        <f>IFERROR($D$92*E143/100, 0)</f>
        <v>2.6539822780641443E-4</v>
      </c>
      <c r="F92" s="206">
        <f t="shared" si="35"/>
        <v>0.15880475175909819</v>
      </c>
      <c r="G92" s="210">
        <f>IFERROR($D$92*G143/100, 0)</f>
        <v>4.9316201597502437E-3</v>
      </c>
      <c r="H92" s="211">
        <f>IFERROR($D$92*H143/100, 0)</f>
        <v>1.6355266605612036E-2</v>
      </c>
      <c r="I92" s="212">
        <f>IFERROR($D$92*I143/100, 0)</f>
        <v>0.13751786499373592</v>
      </c>
      <c r="J92" s="206">
        <f t="shared" si="38"/>
        <v>0.28737551880690909</v>
      </c>
      <c r="K92" s="210">
        <f t="shared" ref="K92:P92" si="41">IFERROR($D$92*K143/100, 0)</f>
        <v>0.25175745232169577</v>
      </c>
      <c r="L92" s="211">
        <f t="shared" si="41"/>
        <v>3.539119160827861E-2</v>
      </c>
      <c r="M92" s="211">
        <f t="shared" si="41"/>
        <v>2.2687487693467278E-4</v>
      </c>
      <c r="N92" s="208">
        <f t="shared" si="41"/>
        <v>0</v>
      </c>
      <c r="O92" s="209">
        <f t="shared" si="41"/>
        <v>0</v>
      </c>
      <c r="P92" s="206">
        <f t="shared" si="41"/>
        <v>1.5888101862170344E-2</v>
      </c>
      <c r="Q92" s="336"/>
      <c r="R92" s="337"/>
    </row>
    <row r="93" spans="1:19" s="1" customFormat="1" ht="27" customHeight="1" thickBot="1" x14ac:dyDescent="0.3">
      <c r="B93" s="167" t="s">
        <v>411</v>
      </c>
      <c r="C93" s="168" t="s">
        <v>306</v>
      </c>
      <c r="D93" s="335">
        <v>0.13448622934401608</v>
      </c>
      <c r="E93" s="209">
        <f>IFERROR($D$93*E144/100, 0)</f>
        <v>7.7200518754289937E-5</v>
      </c>
      <c r="F93" s="206">
        <f t="shared" si="35"/>
        <v>4.619401311673834E-2</v>
      </c>
      <c r="G93" s="210">
        <f>IFERROR($D$93*G144/100, 0)</f>
        <v>1.4345372151826829E-3</v>
      </c>
      <c r="H93" s="211">
        <f>IFERROR($D$93*H144/100, 0)</f>
        <v>4.7575112944572848E-3</v>
      </c>
      <c r="I93" s="212">
        <f>IFERROR($D$93*I144/100, 0)</f>
        <v>4.0001964607098373E-2</v>
      </c>
      <c r="J93" s="206">
        <f t="shared" si="38"/>
        <v>8.3593395903755099E-2</v>
      </c>
      <c r="K93" s="210">
        <f t="shared" ref="K93:P93" si="42">IFERROR($D$93*K144/100, 0)</f>
        <v>7.3232613797519816E-2</v>
      </c>
      <c r="L93" s="211">
        <f t="shared" si="42"/>
        <v>1.0294787474935604E-2</v>
      </c>
      <c r="M93" s="211">
        <f t="shared" si="42"/>
        <v>6.5994631299678608E-5</v>
      </c>
      <c r="N93" s="208">
        <f t="shared" si="42"/>
        <v>0</v>
      </c>
      <c r="O93" s="209">
        <f t="shared" si="42"/>
        <v>0</v>
      </c>
      <c r="P93" s="206">
        <f t="shared" si="42"/>
        <v>4.6216198047683635E-3</v>
      </c>
      <c r="Q93" s="336"/>
      <c r="R93" s="337"/>
    </row>
    <row r="94" spans="1:19" s="1" customFormat="1" x14ac:dyDescent="0.25">
      <c r="B94" s="150" t="s">
        <v>152</v>
      </c>
      <c r="C94" s="239" t="s">
        <v>313</v>
      </c>
      <c r="D94" s="338">
        <f>D95+D96</f>
        <v>15.671559999999999</v>
      </c>
      <c r="E94" s="153">
        <f>E95+E96</f>
        <v>8.9961073902531281E-3</v>
      </c>
      <c r="F94" s="154">
        <f t="shared" si="35"/>
        <v>5.382947025363702</v>
      </c>
      <c r="G94" s="155">
        <f>G95+G96</f>
        <v>0.16716533841142028</v>
      </c>
      <c r="H94" s="156">
        <f>H95+H96</f>
        <v>0.55438853528301724</v>
      </c>
      <c r="I94" s="157">
        <f>I95+I96</f>
        <v>4.6613931516692642</v>
      </c>
      <c r="J94" s="154">
        <f t="shared" si="38"/>
        <v>9.7410636456939361</v>
      </c>
      <c r="K94" s="155">
        <f t="shared" ref="K94:P94" si="43">K95+K96</f>
        <v>8.5337309751537376</v>
      </c>
      <c r="L94" s="156">
        <f t="shared" si="43"/>
        <v>1.1996423751907384</v>
      </c>
      <c r="M94" s="156">
        <f t="shared" si="43"/>
        <v>7.6902953494606937E-3</v>
      </c>
      <c r="N94" s="152">
        <f t="shared" si="43"/>
        <v>0</v>
      </c>
      <c r="O94" s="153">
        <f t="shared" si="43"/>
        <v>0</v>
      </c>
      <c r="P94" s="154">
        <f t="shared" si="43"/>
        <v>0.53855322155210938</v>
      </c>
      <c r="Q94" s="325"/>
      <c r="R94" s="326"/>
    </row>
    <row r="95" spans="1:19" s="1" customFormat="1" ht="29.25" customHeight="1" x14ac:dyDescent="0.25">
      <c r="B95" s="167" t="s">
        <v>154</v>
      </c>
      <c r="C95" s="168" t="s">
        <v>315</v>
      </c>
      <c r="D95" s="335">
        <v>15.671559999999999</v>
      </c>
      <c r="E95" s="209">
        <f>IFERROR($D$95*E146/100, 0)</f>
        <v>8.9961073902531281E-3</v>
      </c>
      <c r="F95" s="206">
        <f t="shared" si="35"/>
        <v>5.382947025363702</v>
      </c>
      <c r="G95" s="210">
        <f>IFERROR($D$95*G146/100, 0)</f>
        <v>0.16716533841142028</v>
      </c>
      <c r="H95" s="211">
        <f>IFERROR($D$95*H146/100, 0)</f>
        <v>0.55438853528301724</v>
      </c>
      <c r="I95" s="212">
        <f>IFERROR($D$95*I146/100, 0)</f>
        <v>4.6613931516692642</v>
      </c>
      <c r="J95" s="206">
        <f t="shared" si="38"/>
        <v>9.7410636456939361</v>
      </c>
      <c r="K95" s="210">
        <f t="shared" ref="K95:P95" si="44">IFERROR($D$95*K146/100, 0)</f>
        <v>8.5337309751537376</v>
      </c>
      <c r="L95" s="211">
        <f t="shared" si="44"/>
        <v>1.1996423751907384</v>
      </c>
      <c r="M95" s="211">
        <f t="shared" si="44"/>
        <v>7.6902953494606937E-3</v>
      </c>
      <c r="N95" s="208">
        <f t="shared" si="44"/>
        <v>0</v>
      </c>
      <c r="O95" s="209">
        <f t="shared" si="44"/>
        <v>0</v>
      </c>
      <c r="P95" s="206">
        <f t="shared" si="44"/>
        <v>0.53855322155210938</v>
      </c>
      <c r="Q95" s="336"/>
      <c r="R95" s="337"/>
    </row>
    <row r="96" spans="1:19" s="1" customFormat="1" ht="25.5" customHeight="1" thickBot="1" x14ac:dyDescent="0.3">
      <c r="B96" s="167" t="s">
        <v>156</v>
      </c>
      <c r="C96" s="168" t="s">
        <v>317</v>
      </c>
      <c r="D96" s="335">
        <v>0</v>
      </c>
      <c r="E96" s="209">
        <f>IFERROR($D$96*E147/100, 0)</f>
        <v>0</v>
      </c>
      <c r="F96" s="206">
        <f t="shared" si="35"/>
        <v>0</v>
      </c>
      <c r="G96" s="210">
        <f>IFERROR($D$96*G147/100, 0)</f>
        <v>0</v>
      </c>
      <c r="H96" s="211">
        <f>IFERROR($D$96*H147/100, 0)</f>
        <v>0</v>
      </c>
      <c r="I96" s="212">
        <f>IFERROR($D$96*I147/100, 0)</f>
        <v>0</v>
      </c>
      <c r="J96" s="206">
        <f t="shared" si="38"/>
        <v>0</v>
      </c>
      <c r="K96" s="210">
        <f t="shared" ref="K96:P96" si="45">IFERROR($D$96*K147/100, 0)</f>
        <v>0</v>
      </c>
      <c r="L96" s="211">
        <f t="shared" si="45"/>
        <v>0</v>
      </c>
      <c r="M96" s="211">
        <f t="shared" si="45"/>
        <v>0</v>
      </c>
      <c r="N96" s="208">
        <f t="shared" si="45"/>
        <v>0</v>
      </c>
      <c r="O96" s="209">
        <f t="shared" si="45"/>
        <v>0</v>
      </c>
      <c r="P96" s="206">
        <f t="shared" si="45"/>
        <v>0</v>
      </c>
      <c r="Q96" s="336"/>
      <c r="R96" s="337"/>
    </row>
    <row r="97" spans="2:18" s="1" customFormat="1" x14ac:dyDescent="0.25">
      <c r="B97" s="150" t="s">
        <v>160</v>
      </c>
      <c r="C97" s="239" t="s">
        <v>319</v>
      </c>
      <c r="D97" s="338">
        <f>D98</f>
        <v>0.78761999999999999</v>
      </c>
      <c r="E97" s="153">
        <f>E98</f>
        <v>4.5212564050491267E-4</v>
      </c>
      <c r="F97" s="154">
        <f t="shared" si="35"/>
        <v>0.27053571795768638</v>
      </c>
      <c r="G97" s="155">
        <f>G98</f>
        <v>8.4013821112641513E-3</v>
      </c>
      <c r="H97" s="156">
        <f>H98</f>
        <v>2.7862414345451891E-2</v>
      </c>
      <c r="I97" s="157">
        <f>I98</f>
        <v>0.23427192150097031</v>
      </c>
      <c r="J97" s="154">
        <f t="shared" si="38"/>
        <v>0.48956559197817318</v>
      </c>
      <c r="K97" s="155">
        <f t="shared" ref="K97:P97" si="46">K98</f>
        <v>0.42888756388327565</v>
      </c>
      <c r="L97" s="156">
        <f t="shared" si="46"/>
        <v>6.0291529850744235E-2</v>
      </c>
      <c r="M97" s="156">
        <f t="shared" si="46"/>
        <v>3.8649824415324524E-4</v>
      </c>
      <c r="N97" s="152">
        <f t="shared" si="46"/>
        <v>0</v>
      </c>
      <c r="O97" s="153">
        <f t="shared" si="46"/>
        <v>0</v>
      </c>
      <c r="P97" s="154">
        <f t="shared" si="46"/>
        <v>2.7066564423635708E-2</v>
      </c>
      <c r="Q97" s="325"/>
      <c r="R97" s="326"/>
    </row>
    <row r="98" spans="2:18" s="1" customFormat="1" ht="15.75" thickBot="1" x14ac:dyDescent="0.3">
      <c r="B98" s="167" t="s">
        <v>412</v>
      </c>
      <c r="C98" s="168" t="s">
        <v>321</v>
      </c>
      <c r="D98" s="335">
        <v>0.78761999999999999</v>
      </c>
      <c r="E98" s="209">
        <f>IFERROR($D$98*E149/100, 0)</f>
        <v>4.5212564050491267E-4</v>
      </c>
      <c r="F98" s="206">
        <f>IFERROR($D$98*F149/100, 0)</f>
        <v>0.27053571795768633</v>
      </c>
      <c r="G98" s="210">
        <f>IFERROR($D$98*G149/100, 0)</f>
        <v>8.4013821112641513E-3</v>
      </c>
      <c r="H98" s="211">
        <f>IFERROR($D$98*H149/100, 0)</f>
        <v>2.7862414345451891E-2</v>
      </c>
      <c r="I98" s="212">
        <f>IFERROR($D$98*I149/100, 0)</f>
        <v>0.23427192150097031</v>
      </c>
      <c r="J98" s="206">
        <f t="shared" si="38"/>
        <v>0.48956559197817318</v>
      </c>
      <c r="K98" s="210">
        <f t="shared" ref="K98:P98" si="47">IFERROR($D$98*K149/100, 0)</f>
        <v>0.42888756388327565</v>
      </c>
      <c r="L98" s="211">
        <f t="shared" si="47"/>
        <v>6.0291529850744235E-2</v>
      </c>
      <c r="M98" s="211">
        <f t="shared" si="47"/>
        <v>3.8649824415324524E-4</v>
      </c>
      <c r="N98" s="208">
        <f t="shared" si="47"/>
        <v>0</v>
      </c>
      <c r="O98" s="209">
        <f t="shared" si="47"/>
        <v>0</v>
      </c>
      <c r="P98" s="206">
        <f t="shared" si="47"/>
        <v>2.7066564423635708E-2</v>
      </c>
      <c r="Q98" s="336"/>
      <c r="R98" s="337"/>
    </row>
    <row r="99" spans="2:18" s="1" customFormat="1" x14ac:dyDescent="0.25">
      <c r="B99" s="150" t="s">
        <v>162</v>
      </c>
      <c r="C99" s="239" t="s">
        <v>323</v>
      </c>
      <c r="D99" s="338">
        <f>SUM(D100:D104)</f>
        <v>1.05227</v>
      </c>
      <c r="E99" s="153">
        <f>SUM(E100:E104)</f>
        <v>6.0404541242490596E-4</v>
      </c>
      <c r="F99" s="154">
        <f>SUM(G99:I99)</f>
        <v>0.36143904412703409</v>
      </c>
      <c r="G99" s="155">
        <f>SUM(G100:G104)</f>
        <v>1.1224349755237208E-2</v>
      </c>
      <c r="H99" s="156">
        <f>SUM(H100:H104)</f>
        <v>3.7224527999909426E-2</v>
      </c>
      <c r="I99" s="157">
        <f>SUM(I100:I104)</f>
        <v>0.31299016637188748</v>
      </c>
      <c r="J99" s="154">
        <f t="shared" si="38"/>
        <v>0.65406564773732545</v>
      </c>
      <c r="K99" s="155">
        <f t="shared" ref="K99:P99" si="48">SUM(K100:K104)</f>
        <v>0.57299905645800575</v>
      </c>
      <c r="L99" s="156">
        <f t="shared" si="48"/>
        <v>8.0550224874993817E-2</v>
      </c>
      <c r="M99" s="156">
        <f t="shared" si="48"/>
        <v>5.1636640432586205E-4</v>
      </c>
      <c r="N99" s="152">
        <f t="shared" si="48"/>
        <v>0</v>
      </c>
      <c r="O99" s="153">
        <f t="shared" si="48"/>
        <v>0</v>
      </c>
      <c r="P99" s="154">
        <f t="shared" si="48"/>
        <v>3.6161262723215695E-2</v>
      </c>
      <c r="Q99" s="325"/>
      <c r="R99" s="326"/>
    </row>
    <row r="100" spans="2:18" s="1" customFormat="1" x14ac:dyDescent="0.25">
      <c r="B100" s="167" t="s">
        <v>413</v>
      </c>
      <c r="C100" s="168" t="s">
        <v>277</v>
      </c>
      <c r="D100" s="335">
        <v>1.05227</v>
      </c>
      <c r="E100" s="209">
        <f>IFERROR($D$100*E151/100, 0)</f>
        <v>6.0404541242490596E-4</v>
      </c>
      <c r="F100" s="206">
        <f>IFERROR($D$100*F151/100, 0)</f>
        <v>0.36143904412703415</v>
      </c>
      <c r="G100" s="210">
        <f>IFERROR($D$100*G151/100, 0)</f>
        <v>1.1224349755237208E-2</v>
      </c>
      <c r="H100" s="211">
        <f>IFERROR($D$100*H151/100, 0)</f>
        <v>3.7224527999909426E-2</v>
      </c>
      <c r="I100" s="212">
        <f>IFERROR($D$100*I151/100, 0)</f>
        <v>0.31299016637188748</v>
      </c>
      <c r="J100" s="206">
        <f t="shared" si="38"/>
        <v>0.65406564773732545</v>
      </c>
      <c r="K100" s="210">
        <f t="shared" ref="K100:P100" si="49">IFERROR($D$100*K151/100, 0)</f>
        <v>0.57299905645800575</v>
      </c>
      <c r="L100" s="211">
        <f t="shared" si="49"/>
        <v>8.0550224874993817E-2</v>
      </c>
      <c r="M100" s="211">
        <f t="shared" si="49"/>
        <v>5.1636640432586205E-4</v>
      </c>
      <c r="N100" s="208">
        <f t="shared" si="49"/>
        <v>0</v>
      </c>
      <c r="O100" s="209">
        <f t="shared" si="49"/>
        <v>0</v>
      </c>
      <c r="P100" s="206">
        <f t="shared" si="49"/>
        <v>3.6161262723215695E-2</v>
      </c>
      <c r="Q100" s="336"/>
      <c r="R100" s="337"/>
    </row>
    <row r="101" spans="2:18" s="1" customFormat="1" x14ac:dyDescent="0.25">
      <c r="B101" s="167" t="s">
        <v>414</v>
      </c>
      <c r="C101" s="168" t="s">
        <v>281</v>
      </c>
      <c r="D101" s="335">
        <v>0</v>
      </c>
      <c r="E101" s="209">
        <f>IFERROR($D$101*E152/100, 0)</f>
        <v>0</v>
      </c>
      <c r="F101" s="206">
        <f>IFERROR($D$101*F152/100, 0)</f>
        <v>0</v>
      </c>
      <c r="G101" s="210">
        <f>IFERROR($D$101*G152/100, 0)</f>
        <v>0</v>
      </c>
      <c r="H101" s="211">
        <f>IFERROR($D$101*H152/100, 0)</f>
        <v>0</v>
      </c>
      <c r="I101" s="212">
        <f>IFERROR($D$101*I152/100, 0)</f>
        <v>0</v>
      </c>
      <c r="J101" s="206">
        <f t="shared" si="38"/>
        <v>0</v>
      </c>
      <c r="K101" s="210">
        <f t="shared" ref="K101:P101" si="50">IFERROR($D$101*K152/100, 0)</f>
        <v>0</v>
      </c>
      <c r="L101" s="211">
        <f t="shared" si="50"/>
        <v>0</v>
      </c>
      <c r="M101" s="211">
        <f t="shared" si="50"/>
        <v>0</v>
      </c>
      <c r="N101" s="208">
        <f t="shared" si="50"/>
        <v>0</v>
      </c>
      <c r="O101" s="209">
        <f t="shared" si="50"/>
        <v>0</v>
      </c>
      <c r="P101" s="206">
        <f t="shared" si="50"/>
        <v>0</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8"/>
        <v>0</v>
      </c>
      <c r="K102" s="210">
        <f t="shared" ref="K102:P102" si="51">IFERROR($D$102*K153/100, 0)</f>
        <v>0</v>
      </c>
      <c r="L102" s="211">
        <f t="shared" si="51"/>
        <v>0</v>
      </c>
      <c r="M102" s="211">
        <f t="shared" si="51"/>
        <v>0</v>
      </c>
      <c r="N102" s="208">
        <f t="shared" si="51"/>
        <v>0</v>
      </c>
      <c r="O102" s="209">
        <f t="shared" si="51"/>
        <v>0</v>
      </c>
      <c r="P102" s="206">
        <f t="shared" si="51"/>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8"/>
        <v>0</v>
      </c>
      <c r="K103" s="210">
        <f t="shared" ref="K103:P103" si="52">IFERROR($D$103*K154/100, 0)</f>
        <v>0</v>
      </c>
      <c r="L103" s="211">
        <f t="shared" si="52"/>
        <v>0</v>
      </c>
      <c r="M103" s="211">
        <f t="shared" si="52"/>
        <v>0</v>
      </c>
      <c r="N103" s="208">
        <f t="shared" si="52"/>
        <v>0</v>
      </c>
      <c r="O103" s="209">
        <f t="shared" si="52"/>
        <v>0</v>
      </c>
      <c r="P103" s="206">
        <f t="shared" si="52"/>
        <v>0</v>
      </c>
      <c r="Q103" s="336"/>
      <c r="R103" s="337"/>
    </row>
    <row r="104" spans="2:18" s="1" customFormat="1" ht="32.25" customHeight="1" thickBot="1" x14ac:dyDescent="0.3">
      <c r="B104" s="167" t="s">
        <v>417</v>
      </c>
      <c r="C104" s="251" t="s">
        <v>330</v>
      </c>
      <c r="D104" s="335">
        <v>0</v>
      </c>
      <c r="E104" s="209">
        <f>IFERROR($D$104*E155/100, 0)</f>
        <v>0</v>
      </c>
      <c r="F104" s="206">
        <f>IFERROR($D$104*F155/100, 0)</f>
        <v>0</v>
      </c>
      <c r="G104" s="210">
        <f>IFERROR($D$104*G155/100, 0)</f>
        <v>0</v>
      </c>
      <c r="H104" s="211">
        <f>IFERROR($D$104*H155/100, 0)</f>
        <v>0</v>
      </c>
      <c r="I104" s="212">
        <f>IFERROR($D$104*I155/100, 0)</f>
        <v>0</v>
      </c>
      <c r="J104" s="206">
        <f t="shared" si="38"/>
        <v>0</v>
      </c>
      <c r="K104" s="210">
        <f t="shared" ref="K104:P104" si="53">IFERROR($D$104*K155/100, 0)</f>
        <v>0</v>
      </c>
      <c r="L104" s="211">
        <f t="shared" si="53"/>
        <v>0</v>
      </c>
      <c r="M104" s="211">
        <f t="shared" si="53"/>
        <v>0</v>
      </c>
      <c r="N104" s="208">
        <f t="shared" si="53"/>
        <v>0</v>
      </c>
      <c r="O104" s="209">
        <f t="shared" si="53"/>
        <v>0</v>
      </c>
      <c r="P104" s="206">
        <f t="shared" si="53"/>
        <v>0</v>
      </c>
      <c r="Q104" s="336"/>
      <c r="R104" s="337"/>
    </row>
    <row r="105" spans="2:18" s="1" customFormat="1" ht="15.75" thickBot="1" x14ac:dyDescent="0.3">
      <c r="B105" s="150" t="s">
        <v>418</v>
      </c>
      <c r="C105" s="239" t="s">
        <v>332</v>
      </c>
      <c r="D105" s="339">
        <v>2.4210081215869925</v>
      </c>
      <c r="E105" s="153">
        <f>IFERROR($D$105*E156/100, 0)</f>
        <v>1.389756288108624E-3</v>
      </c>
      <c r="F105" s="154">
        <f>IFERROR($D$105*F156/100, 0)</f>
        <v>0.8315801660127049</v>
      </c>
      <c r="G105" s="155">
        <f>IFERROR($D$105*G156/100, 0)</f>
        <v>2.5824400502686813E-2</v>
      </c>
      <c r="H105" s="156">
        <f>IFERROR($D$105*H156/100, 0)</f>
        <v>8.5644259182551183E-2</v>
      </c>
      <c r="I105" s="157">
        <f>IFERROR($D$105*I156/100, 0)</f>
        <v>0.7201115063274669</v>
      </c>
      <c r="J105" s="154">
        <f t="shared" si="38"/>
        <v>1.5048402455863248</v>
      </c>
      <c r="K105" s="155">
        <f t="shared" ref="K105:P105" si="54">IFERROR($D$105*K156/100, 0)</f>
        <v>1.3183264460133954</v>
      </c>
      <c r="L105" s="156">
        <f t="shared" si="54"/>
        <v>0.18532577058931513</v>
      </c>
      <c r="M105" s="156">
        <f t="shared" si="54"/>
        <v>1.1880289836140767E-3</v>
      </c>
      <c r="N105" s="152">
        <f t="shared" si="54"/>
        <v>0</v>
      </c>
      <c r="O105" s="153">
        <f t="shared" si="54"/>
        <v>0</v>
      </c>
      <c r="P105" s="154">
        <f t="shared" si="54"/>
        <v>8.3197953699854763E-2</v>
      </c>
      <c r="Q105" s="325"/>
      <c r="R105" s="326"/>
    </row>
    <row r="106" spans="2:18" s="1" customFormat="1" x14ac:dyDescent="0.25">
      <c r="B106" s="150" t="s">
        <v>419</v>
      </c>
      <c r="C106" s="239" t="s">
        <v>334</v>
      </c>
      <c r="D106" s="338">
        <f>SUM(D107:D110)</f>
        <v>28.9633</v>
      </c>
      <c r="E106" s="153">
        <f>SUM(E107:E110)</f>
        <v>1.1867337244621341</v>
      </c>
      <c r="F106" s="154">
        <f t="shared" ref="F106:F140" si="55">SUM(G106:I106)</f>
        <v>13.888283137768934</v>
      </c>
      <c r="G106" s="155">
        <f>SUM(G107:G110)</f>
        <v>6.9441415688844668</v>
      </c>
      <c r="H106" s="156">
        <f>SUM(H107:H110)</f>
        <v>5.1992931377689331</v>
      </c>
      <c r="I106" s="157">
        <f>SUM(I107:I110)</f>
        <v>1.7448484311155337</v>
      </c>
      <c r="J106" s="154">
        <f t="shared" si="38"/>
        <v>12.1434347066534</v>
      </c>
      <c r="K106" s="155">
        <f t="shared" ref="K106:P106" si="56">SUM(K107:K110)</f>
        <v>5.1992931377689331</v>
      </c>
      <c r="L106" s="156">
        <f t="shared" si="56"/>
        <v>4.047811568884466</v>
      </c>
      <c r="M106" s="156">
        <f t="shared" si="56"/>
        <v>2.8963300000000003</v>
      </c>
      <c r="N106" s="152">
        <f t="shared" si="56"/>
        <v>0</v>
      </c>
      <c r="O106" s="153">
        <f t="shared" si="56"/>
        <v>0</v>
      </c>
      <c r="P106" s="154">
        <f t="shared" si="56"/>
        <v>1.7448484311155337</v>
      </c>
      <c r="Q106" s="340"/>
      <c r="R106" s="326"/>
    </row>
    <row r="107" spans="2:18" s="1" customFormat="1" x14ac:dyDescent="0.25">
      <c r="B107" s="259" t="s">
        <v>420</v>
      </c>
      <c r="C107" s="260" t="s">
        <v>336</v>
      </c>
      <c r="D107" s="335">
        <v>28.43573</v>
      </c>
      <c r="E107" s="209">
        <f>IFERROR($D$107*E158/100, 0)</f>
        <v>1.1651172266523373</v>
      </c>
      <c r="F107" s="206">
        <f t="shared" si="55"/>
        <v>13.635306386673832</v>
      </c>
      <c r="G107" s="210">
        <f>IFERROR($D$107*G158/100, 0)</f>
        <v>6.8176531933369162</v>
      </c>
      <c r="H107" s="211">
        <f>IFERROR($D$107*H158/100, 0)</f>
        <v>5.1045873866738312</v>
      </c>
      <c r="I107" s="212">
        <f>IFERROR($D$107*I158/100, 0)</f>
        <v>1.7130658066630844</v>
      </c>
      <c r="J107" s="206">
        <f t="shared" si="38"/>
        <v>11.922240580010747</v>
      </c>
      <c r="K107" s="210">
        <f t="shared" ref="K107:P107" si="57">IFERROR($D$107*K158/100, 0)</f>
        <v>5.1045873866738312</v>
      </c>
      <c r="L107" s="211">
        <f t="shared" si="57"/>
        <v>3.9740801933369156</v>
      </c>
      <c r="M107" s="211">
        <f t="shared" si="57"/>
        <v>2.8435730000000001</v>
      </c>
      <c r="N107" s="208">
        <f t="shared" si="57"/>
        <v>0</v>
      </c>
      <c r="O107" s="209">
        <f t="shared" si="57"/>
        <v>0</v>
      </c>
      <c r="P107" s="206">
        <f t="shared" si="57"/>
        <v>1.7130658066630844</v>
      </c>
      <c r="Q107" s="341"/>
      <c r="R107" s="337"/>
    </row>
    <row r="108" spans="2:18" s="1" customFormat="1" x14ac:dyDescent="0.25">
      <c r="B108" s="259" t="s">
        <v>421</v>
      </c>
      <c r="C108" s="260" t="s">
        <v>338</v>
      </c>
      <c r="D108" s="335">
        <v>0.52757000000000009</v>
      </c>
      <c r="E108" s="209">
        <f>IFERROR($D$108*E159/100, 0)</f>
        <v>2.1616497809796818E-2</v>
      </c>
      <c r="F108" s="206">
        <f t="shared" si="55"/>
        <v>0.25297675109510165</v>
      </c>
      <c r="G108" s="210">
        <f>IFERROR($D$108*G159/100, 0)</f>
        <v>0.12648837554755082</v>
      </c>
      <c r="H108" s="211">
        <f>IFERROR($D$108*H159/100, 0)</f>
        <v>9.4705751095101612E-2</v>
      </c>
      <c r="I108" s="212">
        <f>IFERROR($D$108*I159/100, 0)</f>
        <v>3.1782624452449212E-2</v>
      </c>
      <c r="J108" s="206">
        <f t="shared" si="38"/>
        <v>0.22119412664265242</v>
      </c>
      <c r="K108" s="210">
        <f t="shared" ref="K108:P108" si="58">IFERROR($D$108*K159/100, 0)</f>
        <v>9.4705751095101612E-2</v>
      </c>
      <c r="L108" s="211">
        <f t="shared" si="58"/>
        <v>7.3731375547550812E-2</v>
      </c>
      <c r="M108" s="211">
        <f t="shared" si="58"/>
        <v>5.2757000000000005E-2</v>
      </c>
      <c r="N108" s="208">
        <f t="shared" si="58"/>
        <v>0</v>
      </c>
      <c r="O108" s="209">
        <f t="shared" si="58"/>
        <v>0</v>
      </c>
      <c r="P108" s="206">
        <f t="shared" si="58"/>
        <v>3.1782624452449212E-2</v>
      </c>
      <c r="Q108" s="341"/>
      <c r="R108" s="337"/>
    </row>
    <row r="109" spans="2:18" s="1" customFormat="1" x14ac:dyDescent="0.25">
      <c r="B109" s="259" t="s">
        <v>422</v>
      </c>
      <c r="C109" s="260" t="s">
        <v>340</v>
      </c>
      <c r="D109" s="335">
        <v>0</v>
      </c>
      <c r="E109" s="209">
        <f>IFERROR($D$109*E160/100, 0)</f>
        <v>0</v>
      </c>
      <c r="F109" s="206">
        <f t="shared" si="55"/>
        <v>0</v>
      </c>
      <c r="G109" s="210">
        <f>IFERROR($D$109*G160/100, 0)</f>
        <v>0</v>
      </c>
      <c r="H109" s="211">
        <f>IFERROR($D$109*H160/100, 0)</f>
        <v>0</v>
      </c>
      <c r="I109" s="212">
        <f>IFERROR($D$109*I160/100, 0)</f>
        <v>0</v>
      </c>
      <c r="J109" s="206">
        <f t="shared" si="38"/>
        <v>0</v>
      </c>
      <c r="K109" s="210">
        <f t="shared" ref="K109:P109" si="59">IFERROR($D$109*K160/100, 0)</f>
        <v>0</v>
      </c>
      <c r="L109" s="211">
        <f t="shared" si="59"/>
        <v>0</v>
      </c>
      <c r="M109" s="211">
        <f t="shared" si="59"/>
        <v>0</v>
      </c>
      <c r="N109" s="208">
        <f t="shared" si="59"/>
        <v>0</v>
      </c>
      <c r="O109" s="209">
        <f t="shared" si="59"/>
        <v>0</v>
      </c>
      <c r="P109" s="206">
        <f t="shared" si="59"/>
        <v>0</v>
      </c>
      <c r="Q109" s="336"/>
      <c r="R109" s="337"/>
    </row>
    <row r="110" spans="2:18" s="1" customFormat="1" ht="15.75" thickBot="1" x14ac:dyDescent="0.3">
      <c r="B110" s="259" t="s">
        <v>423</v>
      </c>
      <c r="C110" s="250" t="s">
        <v>342</v>
      </c>
      <c r="D110" s="342">
        <v>0</v>
      </c>
      <c r="E110" s="215">
        <f>IFERROR($D$110*E161/100, 0)</f>
        <v>0</v>
      </c>
      <c r="F110" s="216">
        <f t="shared" si="55"/>
        <v>0</v>
      </c>
      <c r="G110" s="217">
        <f>IFERROR($D$110*G161/100, 0)</f>
        <v>0</v>
      </c>
      <c r="H110" s="218">
        <f>IFERROR($D$110*H161/100, 0)</f>
        <v>0</v>
      </c>
      <c r="I110" s="219">
        <f>IFERROR($D$110*I161/100, 0)</f>
        <v>0</v>
      </c>
      <c r="J110" s="216">
        <f t="shared" si="38"/>
        <v>0</v>
      </c>
      <c r="K110" s="217">
        <f t="shared" ref="K110:P110" si="60">IFERROR($D$110*K161/100, 0)</f>
        <v>0</v>
      </c>
      <c r="L110" s="218">
        <f t="shared" si="60"/>
        <v>0</v>
      </c>
      <c r="M110" s="218">
        <f t="shared" si="60"/>
        <v>0</v>
      </c>
      <c r="N110" s="214">
        <f t="shared" si="60"/>
        <v>0</v>
      </c>
      <c r="O110" s="215">
        <f t="shared" si="60"/>
        <v>0</v>
      </c>
      <c r="P110" s="216">
        <f t="shared" si="60"/>
        <v>0</v>
      </c>
      <c r="Q110" s="336"/>
      <c r="R110" s="337"/>
    </row>
    <row r="111" spans="2:18" s="1" customFormat="1" x14ac:dyDescent="0.25">
      <c r="B111" s="150" t="s">
        <v>424</v>
      </c>
      <c r="C111" s="239" t="s">
        <v>344</v>
      </c>
      <c r="D111" s="338">
        <f>SUM(D112:D114)</f>
        <v>0</v>
      </c>
      <c r="E111" s="153">
        <f>SUM(E112:E114)</f>
        <v>0</v>
      </c>
      <c r="F111" s="154">
        <f t="shared" si="55"/>
        <v>0</v>
      </c>
      <c r="G111" s="155">
        <f>SUM(G112:G114)</f>
        <v>0</v>
      </c>
      <c r="H111" s="156">
        <f>SUM(H112:H114)</f>
        <v>0</v>
      </c>
      <c r="I111" s="157">
        <f>SUM(I112:I114)</f>
        <v>0</v>
      </c>
      <c r="J111" s="154">
        <f t="shared" si="38"/>
        <v>0</v>
      </c>
      <c r="K111" s="155">
        <f t="shared" ref="K111:P111" si="61">SUM(K112:K114)</f>
        <v>0</v>
      </c>
      <c r="L111" s="156">
        <f t="shared" si="61"/>
        <v>0</v>
      </c>
      <c r="M111" s="156">
        <f t="shared" si="61"/>
        <v>0</v>
      </c>
      <c r="N111" s="152">
        <f t="shared" si="61"/>
        <v>0</v>
      </c>
      <c r="O111" s="153">
        <f t="shared" si="61"/>
        <v>0</v>
      </c>
      <c r="P111" s="154">
        <f t="shared" si="61"/>
        <v>0</v>
      </c>
      <c r="Q111" s="325"/>
      <c r="R111" s="326"/>
    </row>
    <row r="112" spans="2:18" s="1" customFormat="1" x14ac:dyDescent="0.25">
      <c r="B112" s="259" t="s">
        <v>425</v>
      </c>
      <c r="C112" s="260" t="s">
        <v>350</v>
      </c>
      <c r="D112" s="335">
        <v>0</v>
      </c>
      <c r="E112" s="209">
        <f>IFERROR($D$112*E163/100, 0)</f>
        <v>0</v>
      </c>
      <c r="F112" s="206">
        <f t="shared" si="55"/>
        <v>0</v>
      </c>
      <c r="G112" s="210">
        <f>IFERROR($D$112*G163/100, 0)</f>
        <v>0</v>
      </c>
      <c r="H112" s="211">
        <f>IFERROR($D$112*H163/100, 0)</f>
        <v>0</v>
      </c>
      <c r="I112" s="212">
        <f>IFERROR($D$112*I163/100, 0)</f>
        <v>0</v>
      </c>
      <c r="J112" s="206">
        <f t="shared" si="38"/>
        <v>0</v>
      </c>
      <c r="K112" s="210">
        <f t="shared" ref="K112:P112" si="62">IFERROR($D$112*K163/100, 0)</f>
        <v>0</v>
      </c>
      <c r="L112" s="211">
        <f t="shared" si="62"/>
        <v>0</v>
      </c>
      <c r="M112" s="211">
        <f t="shared" si="62"/>
        <v>0</v>
      </c>
      <c r="N112" s="208">
        <f t="shared" si="62"/>
        <v>0</v>
      </c>
      <c r="O112" s="209">
        <f t="shared" si="62"/>
        <v>0</v>
      </c>
      <c r="P112" s="206">
        <f t="shared" si="62"/>
        <v>0</v>
      </c>
      <c r="Q112" s="336"/>
      <c r="R112" s="337"/>
    </row>
    <row r="113" spans="2:18" s="1" customFormat="1" x14ac:dyDescent="0.25">
      <c r="B113" s="262" t="s">
        <v>426</v>
      </c>
      <c r="C113" s="260" t="s">
        <v>352</v>
      </c>
      <c r="D113" s="342">
        <v>0</v>
      </c>
      <c r="E113" s="209">
        <f>IFERROR($D$113*E164/100, 0)</f>
        <v>0</v>
      </c>
      <c r="F113" s="206">
        <f t="shared" si="55"/>
        <v>0</v>
      </c>
      <c r="G113" s="210">
        <f>IFERROR($D$113*G164/100, 0)</f>
        <v>0</v>
      </c>
      <c r="H113" s="211">
        <f>IFERROR($D$113*H164/100, 0)</f>
        <v>0</v>
      </c>
      <c r="I113" s="212">
        <f>IFERROR($D$113*I164/100, 0)</f>
        <v>0</v>
      </c>
      <c r="J113" s="206">
        <f t="shared" si="38"/>
        <v>0</v>
      </c>
      <c r="K113" s="210">
        <f t="shared" ref="K113:P113" si="63">IFERROR($D$113*K164/100, 0)</f>
        <v>0</v>
      </c>
      <c r="L113" s="211">
        <f t="shared" si="63"/>
        <v>0</v>
      </c>
      <c r="M113" s="211">
        <f t="shared" si="63"/>
        <v>0</v>
      </c>
      <c r="N113" s="208">
        <f t="shared" si="63"/>
        <v>0</v>
      </c>
      <c r="O113" s="209">
        <f t="shared" si="63"/>
        <v>0</v>
      </c>
      <c r="P113" s="206">
        <f t="shared" si="63"/>
        <v>0</v>
      </c>
      <c r="Q113" s="336"/>
      <c r="R113" s="337"/>
    </row>
    <row r="114" spans="2:18" s="1" customFormat="1" ht="15.75" thickBot="1" x14ac:dyDescent="0.3">
      <c r="B114" s="262" t="s">
        <v>427</v>
      </c>
      <c r="C114" s="250" t="s">
        <v>354</v>
      </c>
      <c r="D114" s="342">
        <v>0</v>
      </c>
      <c r="E114" s="209">
        <f>IFERROR($D$114*E165/100, 0)</f>
        <v>0</v>
      </c>
      <c r="F114" s="216">
        <f t="shared" si="55"/>
        <v>0</v>
      </c>
      <c r="G114" s="217">
        <f>IFERROR($D$114*G165/100, 0)</f>
        <v>0</v>
      </c>
      <c r="H114" s="218">
        <f>IFERROR($D$114*H165/100, 0)</f>
        <v>0</v>
      </c>
      <c r="I114" s="219">
        <f>IFERROR($D$114*I165/100, 0)</f>
        <v>0</v>
      </c>
      <c r="J114" s="216">
        <f t="shared" si="38"/>
        <v>0</v>
      </c>
      <c r="K114" s="217">
        <f t="shared" ref="K114:P114" si="64">IFERROR($D$114*K165/100, 0)</f>
        <v>0</v>
      </c>
      <c r="L114" s="218">
        <f t="shared" si="64"/>
        <v>0</v>
      </c>
      <c r="M114" s="218">
        <f t="shared" si="64"/>
        <v>0</v>
      </c>
      <c r="N114" s="214">
        <f t="shared" si="64"/>
        <v>0</v>
      </c>
      <c r="O114" s="215">
        <f t="shared" si="64"/>
        <v>0</v>
      </c>
      <c r="P114" s="216">
        <f t="shared" si="64"/>
        <v>0</v>
      </c>
      <c r="Q114" s="336"/>
      <c r="R114" s="337"/>
    </row>
    <row r="115" spans="2:18" s="1" customFormat="1" x14ac:dyDescent="0.25">
      <c r="B115" s="150" t="s">
        <v>428</v>
      </c>
      <c r="C115" s="239" t="s">
        <v>356</v>
      </c>
      <c r="D115" s="338">
        <f>SUM(D116:D117)</f>
        <v>0</v>
      </c>
      <c r="E115" s="153">
        <f>E116+E117</f>
        <v>0</v>
      </c>
      <c r="F115" s="154">
        <f t="shared" si="55"/>
        <v>0</v>
      </c>
      <c r="G115" s="155">
        <f>G116+G117</f>
        <v>0</v>
      </c>
      <c r="H115" s="156">
        <f>H116+H117</f>
        <v>0</v>
      </c>
      <c r="I115" s="157">
        <f>I116+I117</f>
        <v>0</v>
      </c>
      <c r="J115" s="154">
        <f t="shared" si="38"/>
        <v>0</v>
      </c>
      <c r="K115" s="155">
        <f t="shared" ref="K115:P115" si="65">K116+K117</f>
        <v>0</v>
      </c>
      <c r="L115" s="156">
        <f t="shared" si="65"/>
        <v>0</v>
      </c>
      <c r="M115" s="156">
        <f t="shared" si="65"/>
        <v>0</v>
      </c>
      <c r="N115" s="152">
        <f t="shared" si="65"/>
        <v>0</v>
      </c>
      <c r="O115" s="153">
        <f t="shared" si="65"/>
        <v>0</v>
      </c>
      <c r="P115" s="154">
        <f t="shared" si="65"/>
        <v>0</v>
      </c>
      <c r="Q115" s="325"/>
      <c r="R115" s="326"/>
    </row>
    <row r="116" spans="2:18" s="1" customFormat="1" x14ac:dyDescent="0.25">
      <c r="B116" s="259" t="s">
        <v>429</v>
      </c>
      <c r="C116" s="260" t="s">
        <v>358</v>
      </c>
      <c r="D116" s="343">
        <v>0</v>
      </c>
      <c r="E116" s="209">
        <f>IFERROR($D$116*E167/100, 0)</f>
        <v>0</v>
      </c>
      <c r="F116" s="206">
        <f t="shared" si="55"/>
        <v>0</v>
      </c>
      <c r="G116" s="210">
        <f>IFERROR($D$116*G167/100, 0)</f>
        <v>0</v>
      </c>
      <c r="H116" s="211">
        <f>IFERROR($D$116*H167/100, 0)</f>
        <v>0</v>
      </c>
      <c r="I116" s="212">
        <f>IFERROR($D$116*I167/100, 0)</f>
        <v>0</v>
      </c>
      <c r="J116" s="206">
        <f t="shared" si="38"/>
        <v>0</v>
      </c>
      <c r="K116" s="210">
        <f t="shared" ref="K116:P116" si="66">IFERROR($D$116*K167/100, 0)</f>
        <v>0</v>
      </c>
      <c r="L116" s="211">
        <f t="shared" si="66"/>
        <v>0</v>
      </c>
      <c r="M116" s="211">
        <f t="shared" si="66"/>
        <v>0</v>
      </c>
      <c r="N116" s="208">
        <f t="shared" si="66"/>
        <v>0</v>
      </c>
      <c r="O116" s="209">
        <f t="shared" si="66"/>
        <v>0</v>
      </c>
      <c r="P116" s="206">
        <f t="shared" si="66"/>
        <v>0</v>
      </c>
      <c r="Q116" s="336"/>
      <c r="R116" s="337"/>
    </row>
    <row r="117" spans="2:18" s="1" customFormat="1" ht="15.75" thickBot="1" x14ac:dyDescent="0.3">
      <c r="B117" s="262" t="s">
        <v>430</v>
      </c>
      <c r="C117" s="250" t="s">
        <v>360</v>
      </c>
      <c r="D117" s="344">
        <v>0</v>
      </c>
      <c r="E117" s="215">
        <f>IFERROR($D$117*E168/100, 0)</f>
        <v>0</v>
      </c>
      <c r="F117" s="216">
        <f t="shared" si="55"/>
        <v>0</v>
      </c>
      <c r="G117" s="217">
        <f>IFERROR($D$117*G168/100, 0)</f>
        <v>0</v>
      </c>
      <c r="H117" s="218">
        <f>IFERROR($D$117*H168/100, 0)</f>
        <v>0</v>
      </c>
      <c r="I117" s="219">
        <f>IFERROR($D$117*I168/100, 0)</f>
        <v>0</v>
      </c>
      <c r="J117" s="216">
        <f t="shared" si="38"/>
        <v>0</v>
      </c>
      <c r="K117" s="217">
        <f t="shared" ref="K117:P117" si="67">IFERROR($D$117*K168/100, 0)</f>
        <v>0</v>
      </c>
      <c r="L117" s="218">
        <f t="shared" si="67"/>
        <v>0</v>
      </c>
      <c r="M117" s="218">
        <f t="shared" si="67"/>
        <v>0</v>
      </c>
      <c r="N117" s="214">
        <f t="shared" si="67"/>
        <v>0</v>
      </c>
      <c r="O117" s="215">
        <f t="shared" si="67"/>
        <v>0</v>
      </c>
      <c r="P117" s="216">
        <f t="shared" si="67"/>
        <v>0</v>
      </c>
      <c r="Q117" s="336"/>
      <c r="R117" s="337"/>
    </row>
    <row r="118" spans="2:18" s="1" customFormat="1" x14ac:dyDescent="0.25">
      <c r="B118" s="150" t="s">
        <v>431</v>
      </c>
      <c r="C118" s="239" t="s">
        <v>362</v>
      </c>
      <c r="D118" s="338">
        <f>SUM(D119:D132)</f>
        <v>3.9559000000000002</v>
      </c>
      <c r="E118" s="153">
        <f>SUM(E119:E132)</f>
        <v>2.2708461203034256E-3</v>
      </c>
      <c r="F118" s="154">
        <f t="shared" si="55"/>
        <v>1.3587926241954389</v>
      </c>
      <c r="G118" s="155">
        <f>SUM(G119:G132)</f>
        <v>4.2196779530674515E-2</v>
      </c>
      <c r="H118" s="156">
        <f>SUM(H119:H132)</f>
        <v>0.13994175479187063</v>
      </c>
      <c r="I118" s="157">
        <f>SUM(I119:I132)</f>
        <v>1.1766540898728937</v>
      </c>
      <c r="J118" s="154">
        <f t="shared" si="38"/>
        <v>2.4588920104954863</v>
      </c>
      <c r="K118" s="155">
        <f t="shared" ref="K118:P118" si="68">SUM(K119:K132)</f>
        <v>2.1541305629184762</v>
      </c>
      <c r="L118" s="156">
        <f t="shared" si="68"/>
        <v>0.30282022159995825</v>
      </c>
      <c r="M118" s="156">
        <f t="shared" si="68"/>
        <v>1.9412259770521609E-3</v>
      </c>
      <c r="N118" s="152">
        <f t="shared" si="68"/>
        <v>0</v>
      </c>
      <c r="O118" s="153">
        <f t="shared" si="68"/>
        <v>0</v>
      </c>
      <c r="P118" s="154">
        <f t="shared" si="68"/>
        <v>0.13594451918877187</v>
      </c>
      <c r="Q118" s="325"/>
      <c r="R118" s="326"/>
    </row>
    <row r="119" spans="2:18" s="1" customFormat="1" x14ac:dyDescent="0.25">
      <c r="B119" s="259" t="s">
        <v>432</v>
      </c>
      <c r="C119" s="260" t="s">
        <v>364</v>
      </c>
      <c r="D119" s="335">
        <v>0</v>
      </c>
      <c r="E119" s="209">
        <f>IFERROR($D$119*E170/100, 0)</f>
        <v>0</v>
      </c>
      <c r="F119" s="206">
        <f t="shared" si="55"/>
        <v>0</v>
      </c>
      <c r="G119" s="210">
        <f>IFERROR($D$119*G170/100, 0)</f>
        <v>0</v>
      </c>
      <c r="H119" s="211">
        <f>IFERROR($D$119*H170/100, 0)</f>
        <v>0</v>
      </c>
      <c r="I119" s="212">
        <f>IFERROR($D$119*I170/100, 0)</f>
        <v>0</v>
      </c>
      <c r="J119" s="206">
        <f t="shared" si="38"/>
        <v>0</v>
      </c>
      <c r="K119" s="210">
        <f t="shared" ref="K119:P119" si="69">IFERROR($D$119*K170/100, 0)</f>
        <v>0</v>
      </c>
      <c r="L119" s="211">
        <f t="shared" si="69"/>
        <v>0</v>
      </c>
      <c r="M119" s="211">
        <f t="shared" si="69"/>
        <v>0</v>
      </c>
      <c r="N119" s="208">
        <f t="shared" si="69"/>
        <v>0</v>
      </c>
      <c r="O119" s="209">
        <f t="shared" si="69"/>
        <v>0</v>
      </c>
      <c r="P119" s="206">
        <f t="shared" si="69"/>
        <v>0</v>
      </c>
      <c r="Q119" s="336"/>
      <c r="R119" s="337"/>
    </row>
    <row r="120" spans="2:18" s="1" customFormat="1" x14ac:dyDescent="0.25">
      <c r="B120" s="259" t="s">
        <v>433</v>
      </c>
      <c r="C120" s="260" t="s">
        <v>366</v>
      </c>
      <c r="D120" s="335">
        <v>0</v>
      </c>
      <c r="E120" s="209">
        <f>IFERROR($D$120*E171/100, 0)</f>
        <v>0</v>
      </c>
      <c r="F120" s="206">
        <f t="shared" si="55"/>
        <v>0</v>
      </c>
      <c r="G120" s="210">
        <f>IFERROR($D$120*G171/100, 0)</f>
        <v>0</v>
      </c>
      <c r="H120" s="211">
        <f>IFERROR($D$120*H171/100, 0)</f>
        <v>0</v>
      </c>
      <c r="I120" s="212">
        <f>IFERROR($D$120*I171/100, 0)</f>
        <v>0</v>
      </c>
      <c r="J120" s="206">
        <f t="shared" si="38"/>
        <v>0</v>
      </c>
      <c r="K120" s="210">
        <f t="shared" ref="K120:P120" si="70">IFERROR($D$120*K171/100, 0)</f>
        <v>0</v>
      </c>
      <c r="L120" s="211">
        <f t="shared" si="70"/>
        <v>0</v>
      </c>
      <c r="M120" s="211">
        <f t="shared" si="70"/>
        <v>0</v>
      </c>
      <c r="N120" s="208">
        <f t="shared" si="70"/>
        <v>0</v>
      </c>
      <c r="O120" s="209">
        <f t="shared" si="70"/>
        <v>0</v>
      </c>
      <c r="P120" s="206">
        <f t="shared" si="70"/>
        <v>0</v>
      </c>
      <c r="Q120" s="336"/>
      <c r="R120" s="337"/>
    </row>
    <row r="121" spans="2:18" s="1" customFormat="1" x14ac:dyDescent="0.25">
      <c r="B121" s="259" t="s">
        <v>434</v>
      </c>
      <c r="C121" s="260" t="s">
        <v>368</v>
      </c>
      <c r="D121" s="335">
        <v>0</v>
      </c>
      <c r="E121" s="209">
        <f>IFERROR($D$121*E172/100, 0)</f>
        <v>0</v>
      </c>
      <c r="F121" s="206">
        <f t="shared" si="55"/>
        <v>0</v>
      </c>
      <c r="G121" s="210">
        <f>IFERROR($D$121*G172/100, 0)</f>
        <v>0</v>
      </c>
      <c r="H121" s="211">
        <f>IFERROR($D$121*H172/100, 0)</f>
        <v>0</v>
      </c>
      <c r="I121" s="212">
        <f>IFERROR($D$121*I172/100, 0)</f>
        <v>0</v>
      </c>
      <c r="J121" s="206">
        <f t="shared" ref="J121:J140" si="71">SUM(K121:M121)</f>
        <v>0</v>
      </c>
      <c r="K121" s="210">
        <f t="shared" ref="K121:P121" si="72">IFERROR($D$121*K172/100, 0)</f>
        <v>0</v>
      </c>
      <c r="L121" s="211">
        <f t="shared" si="72"/>
        <v>0</v>
      </c>
      <c r="M121" s="211">
        <f t="shared" si="72"/>
        <v>0</v>
      </c>
      <c r="N121" s="208">
        <f t="shared" si="72"/>
        <v>0</v>
      </c>
      <c r="O121" s="209">
        <f t="shared" si="72"/>
        <v>0</v>
      </c>
      <c r="P121" s="206">
        <f t="shared" si="72"/>
        <v>0</v>
      </c>
      <c r="Q121" s="336"/>
      <c r="R121" s="337"/>
    </row>
    <row r="122" spans="2:18" s="1" customFormat="1" x14ac:dyDescent="0.25">
      <c r="B122" s="259" t="s">
        <v>435</v>
      </c>
      <c r="C122" s="260" t="s">
        <v>370</v>
      </c>
      <c r="D122" s="335">
        <v>0</v>
      </c>
      <c r="E122" s="209">
        <f>IFERROR($D$122*E173/100, 0)</f>
        <v>0</v>
      </c>
      <c r="F122" s="206">
        <f t="shared" si="55"/>
        <v>0</v>
      </c>
      <c r="G122" s="210">
        <f>IFERROR($D$122*G173/100, 0)</f>
        <v>0</v>
      </c>
      <c r="H122" s="211">
        <f>IFERROR($D$122*H173/100, 0)</f>
        <v>0</v>
      </c>
      <c r="I122" s="212">
        <f>IFERROR($D$122*I173/100, 0)</f>
        <v>0</v>
      </c>
      <c r="J122" s="206">
        <f t="shared" si="71"/>
        <v>0</v>
      </c>
      <c r="K122" s="210">
        <f t="shared" ref="K122:P122" si="73">IFERROR($D$122*K173/100, 0)</f>
        <v>0</v>
      </c>
      <c r="L122" s="211">
        <f t="shared" si="73"/>
        <v>0</v>
      </c>
      <c r="M122" s="211">
        <f t="shared" si="73"/>
        <v>0</v>
      </c>
      <c r="N122" s="208">
        <f t="shared" si="73"/>
        <v>0</v>
      </c>
      <c r="O122" s="209">
        <f t="shared" si="73"/>
        <v>0</v>
      </c>
      <c r="P122" s="206">
        <f t="shared" si="73"/>
        <v>0</v>
      </c>
      <c r="Q122" s="336"/>
      <c r="R122" s="337"/>
    </row>
    <row r="123" spans="2:18" s="1" customFormat="1" x14ac:dyDescent="0.25">
      <c r="B123" s="259" t="s">
        <v>436</v>
      </c>
      <c r="C123" s="260" t="s">
        <v>372</v>
      </c>
      <c r="D123" s="335">
        <v>0</v>
      </c>
      <c r="E123" s="209">
        <f>IFERROR($D$123*E174/100, 0)</f>
        <v>0</v>
      </c>
      <c r="F123" s="206">
        <f t="shared" si="55"/>
        <v>0</v>
      </c>
      <c r="G123" s="210">
        <f>IFERROR($D$123*G174/100, 0)</f>
        <v>0</v>
      </c>
      <c r="H123" s="211">
        <f>IFERROR($D$123*H174/100, 0)</f>
        <v>0</v>
      </c>
      <c r="I123" s="212">
        <f>IFERROR($D$123*I174/100, 0)</f>
        <v>0</v>
      </c>
      <c r="J123" s="206">
        <f t="shared" si="71"/>
        <v>0</v>
      </c>
      <c r="K123" s="210">
        <f t="shared" ref="K123:P123" si="74">IFERROR($D$123*K174/100, 0)</f>
        <v>0</v>
      </c>
      <c r="L123" s="211">
        <f t="shared" si="74"/>
        <v>0</v>
      </c>
      <c r="M123" s="211">
        <f t="shared" si="74"/>
        <v>0</v>
      </c>
      <c r="N123" s="208">
        <f t="shared" si="74"/>
        <v>0</v>
      </c>
      <c r="O123" s="209">
        <f t="shared" si="74"/>
        <v>0</v>
      </c>
      <c r="P123" s="206">
        <f t="shared" si="74"/>
        <v>0</v>
      </c>
      <c r="Q123" s="336"/>
      <c r="R123" s="337"/>
    </row>
    <row r="124" spans="2:18" s="1" customFormat="1" x14ac:dyDescent="0.25">
      <c r="B124" s="259" t="s">
        <v>437</v>
      </c>
      <c r="C124" s="260" t="s">
        <v>374</v>
      </c>
      <c r="D124" s="343">
        <v>0</v>
      </c>
      <c r="E124" s="209">
        <f>IFERROR($D$124*E175/100, 0)</f>
        <v>0</v>
      </c>
      <c r="F124" s="206">
        <f t="shared" si="55"/>
        <v>0</v>
      </c>
      <c r="G124" s="210">
        <f>IFERROR($D$124*G175/100, 0)</f>
        <v>0</v>
      </c>
      <c r="H124" s="211">
        <f>IFERROR($D$124*H175/100, 0)</f>
        <v>0</v>
      </c>
      <c r="I124" s="212">
        <f>IFERROR($D$124*I175/100, 0)</f>
        <v>0</v>
      </c>
      <c r="J124" s="206">
        <f t="shared" si="71"/>
        <v>0</v>
      </c>
      <c r="K124" s="210">
        <f t="shared" ref="K124:P124" si="75">IFERROR($D$124*K175/100, 0)</f>
        <v>0</v>
      </c>
      <c r="L124" s="211">
        <f t="shared" si="75"/>
        <v>0</v>
      </c>
      <c r="M124" s="211">
        <f t="shared" si="75"/>
        <v>0</v>
      </c>
      <c r="N124" s="208">
        <f t="shared" si="75"/>
        <v>0</v>
      </c>
      <c r="O124" s="209">
        <f t="shared" si="75"/>
        <v>0</v>
      </c>
      <c r="P124" s="206">
        <f t="shared" si="75"/>
        <v>0</v>
      </c>
      <c r="Q124" s="336"/>
      <c r="R124" s="337"/>
    </row>
    <row r="125" spans="2:18" s="1" customFormat="1" x14ac:dyDescent="0.25">
      <c r="B125" s="259" t="s">
        <v>438</v>
      </c>
      <c r="C125" s="260" t="s">
        <v>376</v>
      </c>
      <c r="D125" s="335">
        <v>0</v>
      </c>
      <c r="E125" s="209">
        <f>IFERROR($D$125*E176/100, 0)</f>
        <v>0</v>
      </c>
      <c r="F125" s="206">
        <f t="shared" si="55"/>
        <v>0</v>
      </c>
      <c r="G125" s="210">
        <f>IFERROR($D$125*G176/100, 0)</f>
        <v>0</v>
      </c>
      <c r="H125" s="211">
        <f>IFERROR($D$125*H176/100, 0)</f>
        <v>0</v>
      </c>
      <c r="I125" s="212">
        <f>IFERROR($D$125*I176/100, 0)</f>
        <v>0</v>
      </c>
      <c r="J125" s="206">
        <f t="shared" si="71"/>
        <v>0</v>
      </c>
      <c r="K125" s="210">
        <f t="shared" ref="K125:P125" si="76">IFERROR($D$125*K176/100, 0)</f>
        <v>0</v>
      </c>
      <c r="L125" s="211">
        <f t="shared" si="76"/>
        <v>0</v>
      </c>
      <c r="M125" s="211">
        <f t="shared" si="76"/>
        <v>0</v>
      </c>
      <c r="N125" s="208">
        <f t="shared" si="76"/>
        <v>0</v>
      </c>
      <c r="O125" s="209">
        <f t="shared" si="76"/>
        <v>0</v>
      </c>
      <c r="P125" s="206">
        <f t="shared" si="76"/>
        <v>0</v>
      </c>
      <c r="Q125" s="336"/>
      <c r="R125" s="337"/>
    </row>
    <row r="126" spans="2:18" s="1" customFormat="1" x14ac:dyDescent="0.25">
      <c r="B126" s="259" t="s">
        <v>439</v>
      </c>
      <c r="C126" s="260" t="s">
        <v>378</v>
      </c>
      <c r="D126" s="335">
        <v>0</v>
      </c>
      <c r="E126" s="209">
        <f>IFERROR($D$126*E177/100, 0)</f>
        <v>0</v>
      </c>
      <c r="F126" s="206">
        <f t="shared" si="55"/>
        <v>0</v>
      </c>
      <c r="G126" s="210">
        <f>IFERROR($D$126*G177/100, 0)</f>
        <v>0</v>
      </c>
      <c r="H126" s="211">
        <f>IFERROR($D$126*H177/100, 0)</f>
        <v>0</v>
      </c>
      <c r="I126" s="212">
        <f>IFERROR($D$126*I177/100, 0)</f>
        <v>0</v>
      </c>
      <c r="J126" s="206">
        <f t="shared" si="71"/>
        <v>0</v>
      </c>
      <c r="K126" s="210">
        <f t="shared" ref="K126:P126" si="77">IFERROR($D$126*K177/100, 0)</f>
        <v>0</v>
      </c>
      <c r="L126" s="211">
        <f t="shared" si="77"/>
        <v>0</v>
      </c>
      <c r="M126" s="211">
        <f t="shared" si="77"/>
        <v>0</v>
      </c>
      <c r="N126" s="208">
        <f t="shared" si="77"/>
        <v>0</v>
      </c>
      <c r="O126" s="209">
        <f t="shared" si="77"/>
        <v>0</v>
      </c>
      <c r="P126" s="206">
        <f t="shared" si="77"/>
        <v>0</v>
      </c>
      <c r="Q126" s="336"/>
      <c r="R126" s="337"/>
    </row>
    <row r="127" spans="2:18" s="1" customFormat="1" x14ac:dyDescent="0.25">
      <c r="B127" s="259" t="s">
        <v>440</v>
      </c>
      <c r="C127" s="260" t="s">
        <v>380</v>
      </c>
      <c r="D127" s="335">
        <v>0</v>
      </c>
      <c r="E127" s="209">
        <f>IFERROR($D$127*E178/100, 0)</f>
        <v>0</v>
      </c>
      <c r="F127" s="206">
        <f t="shared" si="55"/>
        <v>0</v>
      </c>
      <c r="G127" s="210">
        <f>IFERROR($D$127*G178/100, 0)</f>
        <v>0</v>
      </c>
      <c r="H127" s="211">
        <f>IFERROR($D$127*H178/100, 0)</f>
        <v>0</v>
      </c>
      <c r="I127" s="212">
        <f>IFERROR($D$127*I178/100, 0)</f>
        <v>0</v>
      </c>
      <c r="J127" s="206">
        <f t="shared" si="71"/>
        <v>0</v>
      </c>
      <c r="K127" s="210">
        <f t="shared" ref="K127:P127" si="78">IFERROR($D$127*K178/100, 0)</f>
        <v>0</v>
      </c>
      <c r="L127" s="211">
        <f t="shared" si="78"/>
        <v>0</v>
      </c>
      <c r="M127" s="211">
        <f t="shared" si="78"/>
        <v>0</v>
      </c>
      <c r="N127" s="208">
        <f t="shared" si="78"/>
        <v>0</v>
      </c>
      <c r="O127" s="209">
        <f t="shared" si="78"/>
        <v>0</v>
      </c>
      <c r="P127" s="206">
        <f t="shared" si="78"/>
        <v>0</v>
      </c>
      <c r="Q127" s="336"/>
      <c r="R127" s="337"/>
    </row>
    <row r="128" spans="2:18" s="1" customFormat="1" x14ac:dyDescent="0.25">
      <c r="B128" s="259" t="s">
        <v>441</v>
      </c>
      <c r="C128" s="260" t="s">
        <v>382</v>
      </c>
      <c r="D128" s="335">
        <v>0</v>
      </c>
      <c r="E128" s="209">
        <f>IFERROR($D$128*E179/100, 0)</f>
        <v>0</v>
      </c>
      <c r="F128" s="206">
        <f t="shared" si="55"/>
        <v>0</v>
      </c>
      <c r="G128" s="210">
        <f>IFERROR($D$128*G179/100, 0)</f>
        <v>0</v>
      </c>
      <c r="H128" s="211">
        <f>IFERROR($D$128*H179/100, 0)</f>
        <v>0</v>
      </c>
      <c r="I128" s="212">
        <f>IFERROR($D$128*I179/100, 0)</f>
        <v>0</v>
      </c>
      <c r="J128" s="206">
        <f t="shared" si="71"/>
        <v>0</v>
      </c>
      <c r="K128" s="210">
        <f t="shared" ref="K128:P128" si="79">IFERROR($D$128*K179/100, 0)</f>
        <v>0</v>
      </c>
      <c r="L128" s="211">
        <f t="shared" si="79"/>
        <v>0</v>
      </c>
      <c r="M128" s="211">
        <f t="shared" si="79"/>
        <v>0</v>
      </c>
      <c r="N128" s="208">
        <f t="shared" si="79"/>
        <v>0</v>
      </c>
      <c r="O128" s="209">
        <f t="shared" si="79"/>
        <v>0</v>
      </c>
      <c r="P128" s="206">
        <f t="shared" si="79"/>
        <v>0</v>
      </c>
      <c r="Q128" s="336"/>
      <c r="R128" s="337"/>
    </row>
    <row r="129" spans="2:18" s="1" customFormat="1" x14ac:dyDescent="0.25">
      <c r="B129" s="259" t="s">
        <v>442</v>
      </c>
      <c r="C129" s="260" t="s">
        <v>384</v>
      </c>
      <c r="D129" s="335">
        <v>3.5688800000000001</v>
      </c>
      <c r="E129" s="209">
        <f>IFERROR($D$129*E180/100, 0)</f>
        <v>2.0486810338553778E-3</v>
      </c>
      <c r="F129" s="206">
        <f t="shared" si="55"/>
        <v>1.2258570289033135</v>
      </c>
      <c r="G129" s="210">
        <f>IFERROR($D$129*G180/100, 0)</f>
        <v>3.8068516022000974E-2</v>
      </c>
      <c r="H129" s="211">
        <f>IFERROR($D$129*H180/100, 0)</f>
        <v>0.12625074694547669</v>
      </c>
      <c r="I129" s="212">
        <f>IFERROR($D$129*I180/100, 0)</f>
        <v>1.0615377659358358</v>
      </c>
      <c r="J129" s="206">
        <f t="shared" si="71"/>
        <v>2.2183297147089491</v>
      </c>
      <c r="K129" s="210">
        <f t="shared" ref="K129:P129" si="80">IFERROR($D$129*K180/100, 0)</f>
        <v>1.9433841814475823</v>
      </c>
      <c r="L129" s="211">
        <f t="shared" si="80"/>
        <v>0.27319422444036984</v>
      </c>
      <c r="M129" s="211">
        <f t="shared" si="80"/>
        <v>1.7513088209969707E-3</v>
      </c>
      <c r="N129" s="208">
        <f t="shared" si="80"/>
        <v>0</v>
      </c>
      <c r="O129" s="209">
        <f t="shared" si="80"/>
        <v>0</v>
      </c>
      <c r="P129" s="206">
        <f t="shared" si="80"/>
        <v>0.1226445753538826</v>
      </c>
      <c r="Q129" s="336"/>
      <c r="R129" s="337"/>
    </row>
    <row r="130" spans="2:18" s="1" customFormat="1" x14ac:dyDescent="0.25">
      <c r="B130" s="259" t="s">
        <v>443</v>
      </c>
      <c r="C130" s="260" t="s">
        <v>386</v>
      </c>
      <c r="D130" s="335">
        <v>0</v>
      </c>
      <c r="E130" s="209">
        <f>IFERROR($D$130*E181/100, 0)</f>
        <v>0</v>
      </c>
      <c r="F130" s="206">
        <f t="shared" si="55"/>
        <v>0</v>
      </c>
      <c r="G130" s="210">
        <f>IFERROR($D$130*G181/100, 0)</f>
        <v>0</v>
      </c>
      <c r="H130" s="211">
        <f>IFERROR($D$130*H181/100, 0)</f>
        <v>0</v>
      </c>
      <c r="I130" s="212">
        <f>IFERROR($D$130*I181/100, 0)</f>
        <v>0</v>
      </c>
      <c r="J130" s="206">
        <f t="shared" si="71"/>
        <v>0</v>
      </c>
      <c r="K130" s="210">
        <f t="shared" ref="K130:P130" si="81">IFERROR($D$130*K181/100, 0)</f>
        <v>0</v>
      </c>
      <c r="L130" s="211">
        <f t="shared" si="81"/>
        <v>0</v>
      </c>
      <c r="M130" s="211">
        <f t="shared" si="81"/>
        <v>0</v>
      </c>
      <c r="N130" s="208">
        <f t="shared" si="81"/>
        <v>0</v>
      </c>
      <c r="O130" s="209">
        <f t="shared" si="81"/>
        <v>0</v>
      </c>
      <c r="P130" s="206">
        <f t="shared" si="81"/>
        <v>0</v>
      </c>
      <c r="Q130" s="336"/>
      <c r="R130" s="337"/>
    </row>
    <row r="131" spans="2:18" s="1" customFormat="1" x14ac:dyDescent="0.25">
      <c r="B131" s="259" t="s">
        <v>444</v>
      </c>
      <c r="C131" s="260" t="s">
        <v>388</v>
      </c>
      <c r="D131" s="335">
        <v>0</v>
      </c>
      <c r="E131" s="209">
        <f>IFERROR($D$131*E182/100, 0)</f>
        <v>0</v>
      </c>
      <c r="F131" s="206">
        <f t="shared" si="55"/>
        <v>0</v>
      </c>
      <c r="G131" s="210">
        <f>IFERROR($D$131*G182/100, 0)</f>
        <v>0</v>
      </c>
      <c r="H131" s="211">
        <f>IFERROR($D$131*H182/100, 0)</f>
        <v>0</v>
      </c>
      <c r="I131" s="212">
        <f>IFERROR($D$131*I182/100, 0)</f>
        <v>0</v>
      </c>
      <c r="J131" s="206">
        <f t="shared" si="71"/>
        <v>0</v>
      </c>
      <c r="K131" s="210">
        <f t="shared" ref="K131:P131" si="82">IFERROR($D$131*K182/100, 0)</f>
        <v>0</v>
      </c>
      <c r="L131" s="211">
        <f t="shared" si="82"/>
        <v>0</v>
      </c>
      <c r="M131" s="211">
        <f t="shared" si="82"/>
        <v>0</v>
      </c>
      <c r="N131" s="208">
        <f t="shared" si="82"/>
        <v>0</v>
      </c>
      <c r="O131" s="209">
        <f t="shared" si="82"/>
        <v>0</v>
      </c>
      <c r="P131" s="206">
        <f t="shared" si="82"/>
        <v>0</v>
      </c>
      <c r="Q131" s="336"/>
      <c r="R131" s="337"/>
    </row>
    <row r="132" spans="2:18" s="1" customFormat="1" ht="15.75" thickBot="1" x14ac:dyDescent="0.3">
      <c r="B132" s="282" t="s">
        <v>445</v>
      </c>
      <c r="C132" s="283" t="s">
        <v>390</v>
      </c>
      <c r="D132" s="345">
        <v>0.38701999999999998</v>
      </c>
      <c r="E132" s="346">
        <f>IFERROR($D$132*E183/100, 0)</f>
        <v>2.2216508644804764E-4</v>
      </c>
      <c r="F132" s="347">
        <f t="shared" si="55"/>
        <v>0.13293559529212534</v>
      </c>
      <c r="G132" s="348">
        <f>IFERROR($D$132*G183/100, 0)</f>
        <v>4.1282635086735383E-3</v>
      </c>
      <c r="H132" s="349">
        <f>IFERROR($D$132*H183/100, 0)</f>
        <v>1.3691007846393934E-2</v>
      </c>
      <c r="I132" s="350">
        <f>IFERROR($D$132*I183/100, 0)</f>
        <v>0.11511632393705787</v>
      </c>
      <c r="J132" s="347">
        <f t="shared" si="71"/>
        <v>0.24056229578653734</v>
      </c>
      <c r="K132" s="348">
        <f t="shared" ref="K132:P132" si="83">IFERROR($D$132*K183/100, 0)</f>
        <v>0.21074638147089375</v>
      </c>
      <c r="L132" s="349">
        <f t="shared" si="83"/>
        <v>2.962599715958842E-2</v>
      </c>
      <c r="M132" s="349">
        <f t="shared" si="83"/>
        <v>1.8991715605519031E-4</v>
      </c>
      <c r="N132" s="351">
        <f t="shared" si="83"/>
        <v>0</v>
      </c>
      <c r="O132" s="346">
        <f t="shared" si="83"/>
        <v>0</v>
      </c>
      <c r="P132" s="347">
        <f t="shared" si="83"/>
        <v>1.3299943834889276E-2</v>
      </c>
      <c r="Q132" s="336"/>
      <c r="R132" s="337"/>
    </row>
    <row r="133" spans="2:18" s="1" customFormat="1" ht="15.75" thickBot="1" x14ac:dyDescent="0.3">
      <c r="B133" s="293" t="s">
        <v>446</v>
      </c>
      <c r="C133" s="294" t="s">
        <v>392</v>
      </c>
      <c r="D133" s="352">
        <v>0</v>
      </c>
      <c r="E133" s="353">
        <f>IFERROR($D$133*E184/100, 0)</f>
        <v>0</v>
      </c>
      <c r="F133" s="297">
        <f t="shared" si="55"/>
        <v>0</v>
      </c>
      <c r="G133" s="354">
        <f>IFERROR($D$133*G184/100, 0)</f>
        <v>0</v>
      </c>
      <c r="H133" s="355">
        <f>IFERROR($D$133*H184/100, 0)</f>
        <v>0</v>
      </c>
      <c r="I133" s="356">
        <f>IFERROR($D$133*I184/100, 0)</f>
        <v>0</v>
      </c>
      <c r="J133" s="297">
        <f t="shared" si="71"/>
        <v>0</v>
      </c>
      <c r="K133" s="354">
        <f t="shared" ref="K133:P133" si="84">IFERROR($D$133*K184/100, 0)</f>
        <v>0</v>
      </c>
      <c r="L133" s="355">
        <f t="shared" si="84"/>
        <v>0</v>
      </c>
      <c r="M133" s="355">
        <f t="shared" si="84"/>
        <v>0</v>
      </c>
      <c r="N133" s="295">
        <f t="shared" si="84"/>
        <v>0</v>
      </c>
      <c r="O133" s="353">
        <f t="shared" si="84"/>
        <v>0</v>
      </c>
      <c r="P133" s="297">
        <f t="shared" si="84"/>
        <v>0</v>
      </c>
      <c r="Q133" s="325"/>
      <c r="R133" s="326"/>
    </row>
    <row r="134" spans="2:18" s="1" customFormat="1" x14ac:dyDescent="0.25">
      <c r="B134" s="150" t="s">
        <v>447</v>
      </c>
      <c r="C134" s="204" t="s">
        <v>394</v>
      </c>
      <c r="D134" s="338">
        <f>SUM(D135:D140)</f>
        <v>0.11607999999999999</v>
      </c>
      <c r="E134" s="153">
        <f>SUM(E135:E140)</f>
        <v>6.6634600885973262E-5</v>
      </c>
      <c r="F134" s="154">
        <f t="shared" si="55"/>
        <v>3.9871747975582419E-2</v>
      </c>
      <c r="G134" s="155">
        <f>SUM(G135:G140)</f>
        <v>1.2382017158979492E-3</v>
      </c>
      <c r="H134" s="156">
        <f>SUM(H135:H140)</f>
        <v>4.1063825921384117E-3</v>
      </c>
      <c r="I134" s="157">
        <f>SUM(I135:I140)</f>
        <v>3.452716366754606E-2</v>
      </c>
      <c r="J134" s="154">
        <f t="shared" si="71"/>
        <v>7.215252776316794E-2</v>
      </c>
      <c r="K134" s="155">
        <f t="shared" ref="K134:P134" si="85">SUM(K135:K140)</f>
        <v>6.320975650132124E-2</v>
      </c>
      <c r="L134" s="156">
        <f t="shared" si="85"/>
        <v>8.8858088736629218E-3</v>
      </c>
      <c r="M134" s="156">
        <f t="shared" si="85"/>
        <v>5.6962388183779881E-5</v>
      </c>
      <c r="N134" s="152">
        <f t="shared" si="85"/>
        <v>0</v>
      </c>
      <c r="O134" s="153">
        <f t="shared" si="85"/>
        <v>0</v>
      </c>
      <c r="P134" s="154">
        <f t="shared" si="85"/>
        <v>3.9890896603636686E-3</v>
      </c>
      <c r="Q134" s="325"/>
      <c r="R134" s="326"/>
    </row>
    <row r="135" spans="2:18" s="1" customFormat="1" x14ac:dyDescent="0.25">
      <c r="B135" s="167" t="s">
        <v>448</v>
      </c>
      <c r="C135" s="357" t="s">
        <v>396</v>
      </c>
      <c r="D135" s="358">
        <v>0</v>
      </c>
      <c r="E135" s="359">
        <f>IFERROR($D$135*E185/100, 0)</f>
        <v>0</v>
      </c>
      <c r="F135" s="308">
        <f t="shared" si="55"/>
        <v>0</v>
      </c>
      <c r="G135" s="360">
        <f>IFERROR($D$135*G185/100, 0)</f>
        <v>0</v>
      </c>
      <c r="H135" s="361">
        <f>IFERROR($D$135*H185/100, 0)</f>
        <v>0</v>
      </c>
      <c r="I135" s="362">
        <f>IFERROR($D$135*I185/100, 0)</f>
        <v>0</v>
      </c>
      <c r="J135" s="308">
        <f t="shared" si="71"/>
        <v>0</v>
      </c>
      <c r="K135" s="360">
        <f t="shared" ref="K135:P135" si="86">IFERROR($D$135*K185/100, 0)</f>
        <v>0</v>
      </c>
      <c r="L135" s="361">
        <f t="shared" si="86"/>
        <v>0</v>
      </c>
      <c r="M135" s="361">
        <f t="shared" si="86"/>
        <v>0</v>
      </c>
      <c r="N135" s="306">
        <f t="shared" si="86"/>
        <v>0</v>
      </c>
      <c r="O135" s="359">
        <f t="shared" si="86"/>
        <v>0</v>
      </c>
      <c r="P135" s="308">
        <f t="shared" si="86"/>
        <v>0</v>
      </c>
      <c r="Q135" s="336"/>
      <c r="R135" s="337"/>
    </row>
    <row r="136" spans="2:18" s="1" customFormat="1" x14ac:dyDescent="0.25">
      <c r="B136" s="167" t="s">
        <v>449</v>
      </c>
      <c r="C136" s="357" t="s">
        <v>450</v>
      </c>
      <c r="D136" s="358">
        <v>2.683E-2</v>
      </c>
      <c r="E136" s="359">
        <f>IFERROR($D$136*E185/100, 0)</f>
        <v>1.5401501910498474E-5</v>
      </c>
      <c r="F136" s="308">
        <f t="shared" si="55"/>
        <v>9.215704670786324E-3</v>
      </c>
      <c r="G136" s="360">
        <f>IFERROR($D$136*G185/100, 0)</f>
        <v>2.8619014505118864E-4</v>
      </c>
      <c r="H136" s="361">
        <f>IFERROR($D$136*H185/100, 0)</f>
        <v>9.491234058155891E-4</v>
      </c>
      <c r="I136" s="362">
        <f>IFERROR($D$136*I185/100, 0)</f>
        <v>7.9803911199195464E-3</v>
      </c>
      <c r="J136" s="308">
        <f t="shared" si="71"/>
        <v>1.6676880770897622E-2</v>
      </c>
      <c r="K136" s="360">
        <f t="shared" ref="K136:P136" si="87">IFERROR($D$136*K185/100, 0)</f>
        <v>1.4609904952881194E-2</v>
      </c>
      <c r="L136" s="361">
        <f t="shared" si="87"/>
        <v>2.0538098904236404E-3</v>
      </c>
      <c r="M136" s="361">
        <f t="shared" si="87"/>
        <v>1.3165927592787856E-5</v>
      </c>
      <c r="N136" s="306">
        <f t="shared" si="87"/>
        <v>0</v>
      </c>
      <c r="O136" s="359">
        <f t="shared" si="87"/>
        <v>0</v>
      </c>
      <c r="P136" s="308">
        <f t="shared" si="87"/>
        <v>9.2201305640555857E-4</v>
      </c>
      <c r="Q136" s="336"/>
      <c r="R136" s="337"/>
    </row>
    <row r="137" spans="2:18" s="1" customFormat="1" x14ac:dyDescent="0.25">
      <c r="B137" s="259" t="s">
        <v>451</v>
      </c>
      <c r="C137" s="260" t="s">
        <v>400</v>
      </c>
      <c r="D137" s="335">
        <v>0</v>
      </c>
      <c r="E137" s="209">
        <f>IFERROR($D$137*E185/100, 0)</f>
        <v>0</v>
      </c>
      <c r="F137" s="206">
        <f t="shared" si="55"/>
        <v>0</v>
      </c>
      <c r="G137" s="210">
        <f>IFERROR($D$137*G185/100, 0)</f>
        <v>0</v>
      </c>
      <c r="H137" s="211">
        <f>IFERROR($D$137*H185/100, 0)</f>
        <v>0</v>
      </c>
      <c r="I137" s="212">
        <f>IFERROR($D$137*I185/100, 0)</f>
        <v>0</v>
      </c>
      <c r="J137" s="206">
        <f t="shared" si="71"/>
        <v>0</v>
      </c>
      <c r="K137" s="210">
        <f t="shared" ref="K137:P137" si="88">IFERROR($D$137*K185/100, 0)</f>
        <v>0</v>
      </c>
      <c r="L137" s="211">
        <f t="shared" si="88"/>
        <v>0</v>
      </c>
      <c r="M137" s="211">
        <f t="shared" si="88"/>
        <v>0</v>
      </c>
      <c r="N137" s="208">
        <f t="shared" si="88"/>
        <v>0</v>
      </c>
      <c r="O137" s="209">
        <f t="shared" si="88"/>
        <v>0</v>
      </c>
      <c r="P137" s="206">
        <f t="shared" si="88"/>
        <v>0</v>
      </c>
      <c r="Q137" s="336"/>
      <c r="R137" s="337"/>
    </row>
    <row r="138" spans="2:18" s="1" customFormat="1" x14ac:dyDescent="0.25">
      <c r="B138" s="262" t="s">
        <v>452</v>
      </c>
      <c r="C138" s="250" t="s">
        <v>453</v>
      </c>
      <c r="D138" s="342">
        <v>8.9249999999999996E-2</v>
      </c>
      <c r="E138" s="215">
        <f>IFERROR($D$138*E185/100, 0)</f>
        <v>5.1233098975474784E-5</v>
      </c>
      <c r="F138" s="216">
        <f t="shared" si="55"/>
        <v>3.0656043304796099E-2</v>
      </c>
      <c r="G138" s="217">
        <f>IFERROR($D$138*G185/100, 0)</f>
        <v>9.5201157084676049E-4</v>
      </c>
      <c r="H138" s="218">
        <f>IFERROR($D$138*H185/100, 0)</f>
        <v>3.1572591863228221E-3</v>
      </c>
      <c r="I138" s="219">
        <f>IFERROR($D$138*I185/100, 0)</f>
        <v>2.6546772547626517E-2</v>
      </c>
      <c r="J138" s="216">
        <f t="shared" si="71"/>
        <v>5.5475646992270325E-2</v>
      </c>
      <c r="K138" s="217">
        <f t="shared" ref="K138:P138" si="89">IFERROR($D$138*K185/100, 0)</f>
        <v>4.859985154844005E-2</v>
      </c>
      <c r="L138" s="218">
        <f t="shared" si="89"/>
        <v>6.8319989832392814E-3</v>
      </c>
      <c r="M138" s="218">
        <f t="shared" si="89"/>
        <v>4.3796460590992022E-5</v>
      </c>
      <c r="N138" s="214">
        <f t="shared" si="89"/>
        <v>0</v>
      </c>
      <c r="O138" s="215">
        <f t="shared" si="89"/>
        <v>0</v>
      </c>
      <c r="P138" s="216">
        <f t="shared" si="89"/>
        <v>3.0670766039581103E-3</v>
      </c>
      <c r="Q138" s="336"/>
      <c r="R138" s="337"/>
    </row>
    <row r="139" spans="2:18" s="1" customFormat="1" x14ac:dyDescent="0.25">
      <c r="B139" s="262" t="s">
        <v>454</v>
      </c>
      <c r="C139" s="363" t="s">
        <v>404</v>
      </c>
      <c r="D139" s="342">
        <v>0</v>
      </c>
      <c r="E139" s="215">
        <f>IFERROR($D$139*E185/100, 0)</f>
        <v>0</v>
      </c>
      <c r="F139" s="216">
        <f t="shared" si="55"/>
        <v>0</v>
      </c>
      <c r="G139" s="217">
        <f>IFERROR($D$139*G185/100, 0)</f>
        <v>0</v>
      </c>
      <c r="H139" s="218">
        <f>IFERROR($D$139*H185/100, 0)</f>
        <v>0</v>
      </c>
      <c r="I139" s="219">
        <f>IFERROR($D$139*I185/100, 0)</f>
        <v>0</v>
      </c>
      <c r="J139" s="216">
        <f t="shared" si="71"/>
        <v>0</v>
      </c>
      <c r="K139" s="217">
        <f t="shared" ref="K139:P139" si="90">IFERROR($D$139*K185/100, 0)</f>
        <v>0</v>
      </c>
      <c r="L139" s="218">
        <f t="shared" si="90"/>
        <v>0</v>
      </c>
      <c r="M139" s="218">
        <f t="shared" si="90"/>
        <v>0</v>
      </c>
      <c r="N139" s="214">
        <f t="shared" si="90"/>
        <v>0</v>
      </c>
      <c r="O139" s="215">
        <f t="shared" si="90"/>
        <v>0</v>
      </c>
      <c r="P139" s="216">
        <f t="shared" si="90"/>
        <v>0</v>
      </c>
      <c r="Q139" s="336"/>
      <c r="R139" s="337"/>
    </row>
    <row r="140" spans="2:18" s="1" customFormat="1" ht="15.75" thickBot="1" x14ac:dyDescent="0.3">
      <c r="B140" s="262" t="s">
        <v>455</v>
      </c>
      <c r="C140" s="363" t="s">
        <v>408</v>
      </c>
      <c r="D140" s="342">
        <v>0</v>
      </c>
      <c r="E140" s="215">
        <f>IFERROR($D$140*E185/100, 0)</f>
        <v>0</v>
      </c>
      <c r="F140" s="216">
        <f t="shared" si="55"/>
        <v>0</v>
      </c>
      <c r="G140" s="217">
        <f>IFERROR($D$140*G185/100, 0)</f>
        <v>0</v>
      </c>
      <c r="H140" s="218">
        <f>IFERROR($D$140*H185/100, 0)</f>
        <v>0</v>
      </c>
      <c r="I140" s="219">
        <f>IFERROR($D$140*I185/100, 0)</f>
        <v>0</v>
      </c>
      <c r="J140" s="216">
        <f t="shared" si="71"/>
        <v>0</v>
      </c>
      <c r="K140" s="217">
        <f t="shared" ref="K140:P140" si="91">IFERROR($D$140*K185/100, 0)</f>
        <v>0</v>
      </c>
      <c r="L140" s="218">
        <f t="shared" si="91"/>
        <v>0</v>
      </c>
      <c r="M140" s="218">
        <f t="shared" si="91"/>
        <v>0</v>
      </c>
      <c r="N140" s="214">
        <f t="shared" si="91"/>
        <v>0</v>
      </c>
      <c r="O140" s="215">
        <f t="shared" si="91"/>
        <v>0</v>
      </c>
      <c r="P140" s="216">
        <f t="shared" si="91"/>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100.00000000000003</v>
      </c>
      <c r="E143" s="370">
        <v>5.7404032465517972E-2</v>
      </c>
      <c r="F143" s="371">
        <f>SUM(G143:I143)</f>
        <v>34.348507904533449</v>
      </c>
      <c r="G143" s="370">
        <v>1.0666796312008522</v>
      </c>
      <c r="H143" s="370">
        <v>3.537545306804283</v>
      </c>
      <c r="I143" s="370">
        <v>29.744282966528313</v>
      </c>
      <c r="J143" s="371">
        <f>SUM(K143:M143)</f>
        <v>62.157587666409327</v>
      </c>
      <c r="K143" s="370">
        <v>54.453615180324988</v>
      </c>
      <c r="L143" s="370">
        <v>7.6549008215566179</v>
      </c>
      <c r="M143" s="370">
        <v>4.9071664527722159E-2</v>
      </c>
      <c r="N143" s="370">
        <v>0</v>
      </c>
      <c r="O143" s="370">
        <v>0</v>
      </c>
      <c r="P143" s="370">
        <v>3.4365003965917205</v>
      </c>
    </row>
    <row r="144" spans="2:18" s="1" customFormat="1" ht="15.75" thickBot="1" x14ac:dyDescent="0.3">
      <c r="B144" s="372">
        <v>2</v>
      </c>
      <c r="C144" s="168" t="s">
        <v>306</v>
      </c>
      <c r="D144" s="373">
        <f>E144+F144+J144+N144+O144+P144</f>
        <v>100.00000000000003</v>
      </c>
      <c r="E144" s="374">
        <v>5.7404032465517972E-2</v>
      </c>
      <c r="F144" s="375">
        <f>SUM(G144:I144)</f>
        <v>34.348507904533449</v>
      </c>
      <c r="G144" s="374">
        <v>1.0666796312008522</v>
      </c>
      <c r="H144" s="374">
        <v>3.537545306804283</v>
      </c>
      <c r="I144" s="374">
        <v>29.744282966528313</v>
      </c>
      <c r="J144" s="375">
        <f>SUM(K144:M144)</f>
        <v>62.157587666409327</v>
      </c>
      <c r="K144" s="374">
        <v>54.453615180324988</v>
      </c>
      <c r="L144" s="374">
        <v>7.6549008215566179</v>
      </c>
      <c r="M144" s="374">
        <v>4.9071664527722159E-2</v>
      </c>
      <c r="N144" s="374">
        <v>0</v>
      </c>
      <c r="O144" s="374">
        <v>0</v>
      </c>
      <c r="P144" s="374">
        <v>3.4365003965917205</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100.00000000000003</v>
      </c>
      <c r="E146" s="370">
        <v>5.7404032465517972E-2</v>
      </c>
      <c r="F146" s="371">
        <f>SUM(G146:I146)</f>
        <v>34.348507904533449</v>
      </c>
      <c r="G146" s="370">
        <v>1.0666796312008522</v>
      </c>
      <c r="H146" s="370">
        <v>3.537545306804283</v>
      </c>
      <c r="I146" s="370">
        <v>29.744282966528313</v>
      </c>
      <c r="J146" s="371">
        <f>SUM(K146:M146)</f>
        <v>62.157587666409327</v>
      </c>
      <c r="K146" s="370">
        <v>54.453615180324988</v>
      </c>
      <c r="L146" s="370">
        <v>7.6549008215566179</v>
      </c>
      <c r="M146" s="370">
        <v>4.9071664527722159E-2</v>
      </c>
      <c r="N146" s="370">
        <v>0</v>
      </c>
      <c r="O146" s="370">
        <v>0</v>
      </c>
      <c r="P146" s="370">
        <v>3.4365003965917205</v>
      </c>
    </row>
    <row r="147" spans="2:16" s="1" customFormat="1" ht="15.75" thickBot="1" x14ac:dyDescent="0.3">
      <c r="B147" s="382">
        <v>2</v>
      </c>
      <c r="C147" s="383" t="s">
        <v>317</v>
      </c>
      <c r="D147" s="373">
        <f>E147+F147+J147+N147+O147+P147</f>
        <v>100.00000000000003</v>
      </c>
      <c r="E147" s="374">
        <v>5.7404032465517972E-2</v>
      </c>
      <c r="F147" s="375">
        <f>SUM(G147:I147)</f>
        <v>34.348507904533449</v>
      </c>
      <c r="G147" s="374">
        <v>1.0666796312008522</v>
      </c>
      <c r="H147" s="374">
        <v>3.537545306804283</v>
      </c>
      <c r="I147" s="374">
        <v>29.744282966528313</v>
      </c>
      <c r="J147" s="375">
        <f>SUM(K147:M147)</f>
        <v>62.157587666409327</v>
      </c>
      <c r="K147" s="374">
        <v>54.453615180324988</v>
      </c>
      <c r="L147" s="374">
        <v>7.6549008215566179</v>
      </c>
      <c r="M147" s="374">
        <v>4.9071664527722159E-2</v>
      </c>
      <c r="N147" s="374">
        <v>0</v>
      </c>
      <c r="O147" s="374">
        <v>0</v>
      </c>
      <c r="P147" s="374">
        <v>3.4365003965917205</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100.00000000000003</v>
      </c>
      <c r="E149" s="374">
        <v>5.7404032465517972E-2</v>
      </c>
      <c r="F149" s="375">
        <f>SUM(G149:I149)</f>
        <v>34.348507904533449</v>
      </c>
      <c r="G149" s="374">
        <v>1.0666796312008522</v>
      </c>
      <c r="H149" s="374">
        <v>3.537545306804283</v>
      </c>
      <c r="I149" s="374">
        <v>29.744282966528313</v>
      </c>
      <c r="J149" s="375">
        <f>SUM(K149:M149)</f>
        <v>62.157587666409327</v>
      </c>
      <c r="K149" s="374">
        <v>54.453615180324988</v>
      </c>
      <c r="L149" s="374">
        <v>7.6549008215566179</v>
      </c>
      <c r="M149" s="374">
        <v>4.9071664527722159E-2</v>
      </c>
      <c r="N149" s="374">
        <v>0</v>
      </c>
      <c r="O149" s="374">
        <v>0</v>
      </c>
      <c r="P149" s="374">
        <v>3.4365003965917205</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2">E151+F151+J151+N151+O151+P151</f>
        <v>100.00000000000003</v>
      </c>
      <c r="E151" s="370">
        <v>5.7404032465517972E-2</v>
      </c>
      <c r="F151" s="371">
        <f t="shared" ref="F151:F156" si="93">SUM(G151:I151)</f>
        <v>34.348507904533449</v>
      </c>
      <c r="G151" s="370">
        <v>1.0666796312008522</v>
      </c>
      <c r="H151" s="370">
        <v>3.537545306804283</v>
      </c>
      <c r="I151" s="370">
        <v>29.744282966528313</v>
      </c>
      <c r="J151" s="371">
        <f t="shared" ref="J151:J156" si="94">SUM(K151:M151)</f>
        <v>62.157587666409327</v>
      </c>
      <c r="K151" s="370">
        <v>54.453615180324988</v>
      </c>
      <c r="L151" s="370">
        <v>7.6549008215566179</v>
      </c>
      <c r="M151" s="370">
        <v>4.9071664527722159E-2</v>
      </c>
      <c r="N151" s="370">
        <v>0</v>
      </c>
      <c r="O151" s="370">
        <v>0</v>
      </c>
      <c r="P151" s="370">
        <v>3.4365003965917205</v>
      </c>
    </row>
    <row r="152" spans="2:16" s="1" customFormat="1" x14ac:dyDescent="0.25">
      <c r="B152" s="380">
        <v>2</v>
      </c>
      <c r="C152" s="381" t="s">
        <v>281</v>
      </c>
      <c r="D152" s="369">
        <f t="shared" si="92"/>
        <v>100.00000000000003</v>
      </c>
      <c r="E152" s="370">
        <v>5.7404032465517972E-2</v>
      </c>
      <c r="F152" s="371">
        <f t="shared" si="93"/>
        <v>34.348507904533449</v>
      </c>
      <c r="G152" s="370">
        <v>1.0666796312008522</v>
      </c>
      <c r="H152" s="370">
        <v>3.537545306804283</v>
      </c>
      <c r="I152" s="370">
        <v>29.744282966528313</v>
      </c>
      <c r="J152" s="371">
        <f t="shared" si="94"/>
        <v>62.157587666409327</v>
      </c>
      <c r="K152" s="370">
        <v>54.453615180324988</v>
      </c>
      <c r="L152" s="370">
        <v>7.6549008215566179</v>
      </c>
      <c r="M152" s="370">
        <v>4.9071664527722159E-2</v>
      </c>
      <c r="N152" s="370">
        <v>0</v>
      </c>
      <c r="O152" s="370">
        <v>0</v>
      </c>
      <c r="P152" s="370">
        <v>3.4365003965917205</v>
      </c>
    </row>
    <row r="153" spans="2:16" s="1" customFormat="1" x14ac:dyDescent="0.25">
      <c r="B153" s="380">
        <v>3</v>
      </c>
      <c r="C153" s="381" t="s">
        <v>464</v>
      </c>
      <c r="D153" s="369">
        <f t="shared" si="92"/>
        <v>100.00000000000003</v>
      </c>
      <c r="E153" s="370">
        <v>5.7404032465517972E-2</v>
      </c>
      <c r="F153" s="371">
        <f t="shared" si="93"/>
        <v>34.348507904533449</v>
      </c>
      <c r="G153" s="370">
        <v>1.0666796312008522</v>
      </c>
      <c r="H153" s="370">
        <v>3.537545306804283</v>
      </c>
      <c r="I153" s="370">
        <v>29.744282966528313</v>
      </c>
      <c r="J153" s="371">
        <f t="shared" si="94"/>
        <v>62.157587666409327</v>
      </c>
      <c r="K153" s="370">
        <v>54.453615180324988</v>
      </c>
      <c r="L153" s="370">
        <v>7.6549008215566179</v>
      </c>
      <c r="M153" s="370">
        <v>4.9071664527722159E-2</v>
      </c>
      <c r="N153" s="370">
        <v>0</v>
      </c>
      <c r="O153" s="370">
        <v>0</v>
      </c>
      <c r="P153" s="370">
        <v>3.4365003965917205</v>
      </c>
    </row>
    <row r="154" spans="2:16" s="1" customFormat="1" x14ac:dyDescent="0.25">
      <c r="B154" s="380">
        <v>4</v>
      </c>
      <c r="C154" s="381" t="s">
        <v>465</v>
      </c>
      <c r="D154" s="369">
        <f t="shared" si="92"/>
        <v>100.00000000000003</v>
      </c>
      <c r="E154" s="370">
        <v>5.7404032465517972E-2</v>
      </c>
      <c r="F154" s="371">
        <f t="shared" si="93"/>
        <v>34.348507904533449</v>
      </c>
      <c r="G154" s="370">
        <v>1.0666796312008522</v>
      </c>
      <c r="H154" s="370">
        <v>3.537545306804283</v>
      </c>
      <c r="I154" s="370">
        <v>29.744282966528313</v>
      </c>
      <c r="J154" s="371">
        <f t="shared" si="94"/>
        <v>62.157587666409327</v>
      </c>
      <c r="K154" s="370">
        <v>54.453615180324988</v>
      </c>
      <c r="L154" s="370">
        <v>7.6549008215566179</v>
      </c>
      <c r="M154" s="370">
        <v>4.9071664527722159E-2</v>
      </c>
      <c r="N154" s="370">
        <v>0</v>
      </c>
      <c r="O154" s="370">
        <v>0</v>
      </c>
      <c r="P154" s="370">
        <v>3.4365003965917205</v>
      </c>
    </row>
    <row r="155" spans="2:16" s="1" customFormat="1" ht="30" customHeight="1" thickBot="1" x14ac:dyDescent="0.3">
      <c r="B155" s="382">
        <v>5</v>
      </c>
      <c r="C155" s="383" t="s">
        <v>330</v>
      </c>
      <c r="D155" s="373">
        <f t="shared" si="92"/>
        <v>100.00000000000003</v>
      </c>
      <c r="E155" s="374">
        <v>5.7404032465517972E-2</v>
      </c>
      <c r="F155" s="375">
        <f t="shared" si="93"/>
        <v>34.348507904533449</v>
      </c>
      <c r="G155" s="374">
        <v>1.0666796312008522</v>
      </c>
      <c r="H155" s="374">
        <v>3.537545306804283</v>
      </c>
      <c r="I155" s="374">
        <v>29.744282966528313</v>
      </c>
      <c r="J155" s="375">
        <f t="shared" si="94"/>
        <v>62.157587666409327</v>
      </c>
      <c r="K155" s="374">
        <v>54.453615180324988</v>
      </c>
      <c r="L155" s="374">
        <v>7.6549008215566179</v>
      </c>
      <c r="M155" s="374">
        <v>4.9071664527722159E-2</v>
      </c>
      <c r="N155" s="374">
        <v>0</v>
      </c>
      <c r="O155" s="374">
        <v>0</v>
      </c>
      <c r="P155" s="374">
        <v>3.4365003965917205</v>
      </c>
    </row>
    <row r="156" spans="2:16" s="1" customFormat="1" ht="15.75" thickBot="1" x14ac:dyDescent="0.3">
      <c r="B156" s="384" t="s">
        <v>75</v>
      </c>
      <c r="C156" s="385" t="s">
        <v>332</v>
      </c>
      <c r="D156" s="386">
        <f t="shared" si="92"/>
        <v>100.00000000000003</v>
      </c>
      <c r="E156" s="387">
        <v>5.7404032465517972E-2</v>
      </c>
      <c r="F156" s="388">
        <f t="shared" si="93"/>
        <v>34.348507904533449</v>
      </c>
      <c r="G156" s="387">
        <v>1.0666796312008522</v>
      </c>
      <c r="H156" s="387">
        <v>3.537545306804283</v>
      </c>
      <c r="I156" s="387">
        <v>29.744282966528313</v>
      </c>
      <c r="J156" s="388">
        <f t="shared" si="94"/>
        <v>62.157587666409327</v>
      </c>
      <c r="K156" s="387">
        <v>54.453615180324988</v>
      </c>
      <c r="L156" s="387">
        <v>7.6549008215566179</v>
      </c>
      <c r="M156" s="387">
        <v>4.9071664527722159E-2</v>
      </c>
      <c r="N156" s="387">
        <v>0</v>
      </c>
      <c r="O156" s="387">
        <v>0</v>
      </c>
      <c r="P156" s="387">
        <v>3.4365003965917205</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100</v>
      </c>
      <c r="E158" s="370">
        <v>4.0973705498411235</v>
      </c>
      <c r="F158" s="371">
        <f>SUM(G158:I158)</f>
        <v>47.951314725079442</v>
      </c>
      <c r="G158" s="370">
        <v>23.975657362539721</v>
      </c>
      <c r="H158" s="370">
        <v>17.951314725079438</v>
      </c>
      <c r="I158" s="370">
        <v>6.0243426374602809</v>
      </c>
      <c r="J158" s="371">
        <f>SUM(K158:M158)</f>
        <v>41.926972087619163</v>
      </c>
      <c r="K158" s="370">
        <v>17.951314725079438</v>
      </c>
      <c r="L158" s="370">
        <v>13.975657362539721</v>
      </c>
      <c r="M158" s="370">
        <v>10</v>
      </c>
      <c r="N158" s="370">
        <v>0</v>
      </c>
      <c r="O158" s="370">
        <v>0</v>
      </c>
      <c r="P158" s="370">
        <v>6.0243426374602809</v>
      </c>
    </row>
    <row r="159" spans="2:16" s="1" customFormat="1" x14ac:dyDescent="0.25">
      <c r="B159" s="380">
        <v>2</v>
      </c>
      <c r="C159" s="389" t="s">
        <v>338</v>
      </c>
      <c r="D159" s="369">
        <f>E159+F159+J159+N159+O159+P159</f>
        <v>100</v>
      </c>
      <c r="E159" s="370">
        <v>4.0973705498411235</v>
      </c>
      <c r="F159" s="371">
        <f>SUM(G159:I159)</f>
        <v>47.951314725079442</v>
      </c>
      <c r="G159" s="370">
        <v>23.975657362539721</v>
      </c>
      <c r="H159" s="370">
        <v>17.951314725079438</v>
      </c>
      <c r="I159" s="370">
        <v>6.0243426374602809</v>
      </c>
      <c r="J159" s="371">
        <f>SUM(K159:M159)</f>
        <v>41.926972087619163</v>
      </c>
      <c r="K159" s="370">
        <v>17.951314725079438</v>
      </c>
      <c r="L159" s="370">
        <v>13.975657362539721</v>
      </c>
      <c r="M159" s="370">
        <v>10</v>
      </c>
      <c r="N159" s="370">
        <v>0</v>
      </c>
      <c r="O159" s="370">
        <v>0</v>
      </c>
      <c r="P159" s="370">
        <v>6.0243426374602809</v>
      </c>
    </row>
    <row r="160" spans="2:16" s="1" customFormat="1" x14ac:dyDescent="0.25">
      <c r="B160" s="380">
        <v>3</v>
      </c>
      <c r="C160" s="381" t="s">
        <v>468</v>
      </c>
      <c r="D160" s="369">
        <f>E160+F160+J160+N160+O160+P160</f>
        <v>100</v>
      </c>
      <c r="E160" s="370">
        <v>4.0973705498411235</v>
      </c>
      <c r="F160" s="371">
        <f>SUM(G160:I160)</f>
        <v>47.951314725079442</v>
      </c>
      <c r="G160" s="370">
        <v>23.975657362539721</v>
      </c>
      <c r="H160" s="370">
        <v>17.951314725079438</v>
      </c>
      <c r="I160" s="370">
        <v>6.0243426374602809</v>
      </c>
      <c r="J160" s="371">
        <f>SUM(K160:M160)</f>
        <v>41.926972087619163</v>
      </c>
      <c r="K160" s="370">
        <v>17.951314725079438</v>
      </c>
      <c r="L160" s="370">
        <v>13.975657362539721</v>
      </c>
      <c r="M160" s="370">
        <v>10</v>
      </c>
      <c r="N160" s="370">
        <v>0</v>
      </c>
      <c r="O160" s="370">
        <v>0</v>
      </c>
      <c r="P160" s="370">
        <v>6.0243426374602809</v>
      </c>
    </row>
    <row r="161" spans="2:16" s="1" customFormat="1" ht="15.75" thickBot="1" x14ac:dyDescent="0.3">
      <c r="B161" s="382">
        <v>4</v>
      </c>
      <c r="C161" s="383" t="s">
        <v>469</v>
      </c>
      <c r="D161" s="373">
        <f>E161+F161+J161+N161+O161+P161</f>
        <v>100</v>
      </c>
      <c r="E161" s="374">
        <v>4.0973705498411235</v>
      </c>
      <c r="F161" s="375">
        <f>SUM(G161:I161)</f>
        <v>47.951314725079442</v>
      </c>
      <c r="G161" s="374">
        <v>23.975657362539721</v>
      </c>
      <c r="H161" s="374">
        <v>17.951314725079438</v>
      </c>
      <c r="I161" s="374">
        <v>6.0243426374602809</v>
      </c>
      <c r="J161" s="375">
        <f>SUM(K161:M161)</f>
        <v>41.926972087619163</v>
      </c>
      <c r="K161" s="374">
        <v>17.951314725079438</v>
      </c>
      <c r="L161" s="374">
        <v>13.975657362539721</v>
      </c>
      <c r="M161" s="374">
        <v>10</v>
      </c>
      <c r="N161" s="374">
        <v>0</v>
      </c>
      <c r="O161" s="374">
        <v>0</v>
      </c>
      <c r="P161" s="374">
        <v>6.0243426374602809</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100.00000000000003</v>
      </c>
      <c r="E163" s="370">
        <v>5.7404032465517972E-2</v>
      </c>
      <c r="F163" s="371">
        <f>SUM(G163:I163)</f>
        <v>34.348507904533449</v>
      </c>
      <c r="G163" s="370">
        <v>1.0666796312008522</v>
      </c>
      <c r="H163" s="370">
        <v>3.537545306804283</v>
      </c>
      <c r="I163" s="370">
        <v>29.744282966528313</v>
      </c>
      <c r="J163" s="371">
        <f>SUM(K163:M163)</f>
        <v>62.157587666409327</v>
      </c>
      <c r="K163" s="370">
        <v>54.453615180324988</v>
      </c>
      <c r="L163" s="370">
        <v>7.6549008215566179</v>
      </c>
      <c r="M163" s="370">
        <v>4.9071664527722159E-2</v>
      </c>
      <c r="N163" s="370">
        <v>0</v>
      </c>
      <c r="O163" s="370">
        <v>0</v>
      </c>
      <c r="P163" s="370">
        <v>3.4365003965917205</v>
      </c>
    </row>
    <row r="164" spans="2:16" s="1" customFormat="1" x14ac:dyDescent="0.25">
      <c r="B164" s="382">
        <v>2</v>
      </c>
      <c r="C164" s="383" t="s">
        <v>473</v>
      </c>
      <c r="D164" s="369">
        <f>E164+F164+J164+N164+O164+P164</f>
        <v>100.00000000000003</v>
      </c>
      <c r="E164" s="390">
        <v>5.7404032465517972E-2</v>
      </c>
      <c r="F164" s="371">
        <f>SUM(G164:I164)</f>
        <v>34.348507904533449</v>
      </c>
      <c r="G164" s="390">
        <v>1.0666796312008522</v>
      </c>
      <c r="H164" s="390">
        <v>3.537545306804283</v>
      </c>
      <c r="I164" s="390">
        <v>29.744282966528313</v>
      </c>
      <c r="J164" s="371">
        <f>SUM(K164:M164)</f>
        <v>62.157587666409327</v>
      </c>
      <c r="K164" s="390">
        <v>54.453615180324988</v>
      </c>
      <c r="L164" s="390">
        <v>7.6549008215566179</v>
      </c>
      <c r="M164" s="390">
        <v>4.9071664527722159E-2</v>
      </c>
      <c r="N164" s="390">
        <v>0</v>
      </c>
      <c r="O164" s="390">
        <v>0</v>
      </c>
      <c r="P164" s="390">
        <v>3.4365003965917205</v>
      </c>
    </row>
    <row r="165" spans="2:16" s="1" customFormat="1" ht="15.75" thickBot="1" x14ac:dyDescent="0.3">
      <c r="B165" s="382">
        <v>3</v>
      </c>
      <c r="C165" s="383" t="s">
        <v>354</v>
      </c>
      <c r="D165" s="373">
        <f>E165+F165+J165+N165+O165+P165</f>
        <v>100.00000000000003</v>
      </c>
      <c r="E165" s="374">
        <v>5.7404032465517972E-2</v>
      </c>
      <c r="F165" s="375">
        <f>SUM(G165:I165)</f>
        <v>34.348507904533449</v>
      </c>
      <c r="G165" s="374">
        <v>1.0666796312008522</v>
      </c>
      <c r="H165" s="374">
        <v>3.537545306804283</v>
      </c>
      <c r="I165" s="374">
        <v>29.744282966528313</v>
      </c>
      <c r="J165" s="375">
        <f>SUM(K165:M165)</f>
        <v>62.157587666409327</v>
      </c>
      <c r="K165" s="374">
        <v>54.453615180324988</v>
      </c>
      <c r="L165" s="374">
        <v>7.6549008215566179</v>
      </c>
      <c r="M165" s="374">
        <v>4.9071664527722159E-2</v>
      </c>
      <c r="N165" s="374">
        <v>0</v>
      </c>
      <c r="O165" s="374">
        <v>0</v>
      </c>
      <c r="P165" s="374">
        <v>3.4365003965917205</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100.00000000000003</v>
      </c>
      <c r="E167" s="370">
        <v>5.7404032465517972E-2</v>
      </c>
      <c r="F167" s="371">
        <f>SUM(G167:I167)</f>
        <v>34.348507904533449</v>
      </c>
      <c r="G167" s="370">
        <v>1.0666796312008522</v>
      </c>
      <c r="H167" s="370">
        <v>3.537545306804283</v>
      </c>
      <c r="I167" s="370">
        <v>29.744282966528313</v>
      </c>
      <c r="J167" s="371">
        <f>SUM(K167:M167)</f>
        <v>62.157587666409327</v>
      </c>
      <c r="K167" s="370">
        <v>54.453615180324988</v>
      </c>
      <c r="L167" s="370">
        <v>7.6549008215566179</v>
      </c>
      <c r="M167" s="370">
        <v>4.9071664527722159E-2</v>
      </c>
      <c r="N167" s="370">
        <v>0</v>
      </c>
      <c r="O167" s="370">
        <v>0</v>
      </c>
      <c r="P167" s="370">
        <v>3.4365003965917205</v>
      </c>
    </row>
    <row r="168" spans="2:16" s="1" customFormat="1" ht="15.75" thickBot="1" x14ac:dyDescent="0.3">
      <c r="B168" s="382">
        <v>2</v>
      </c>
      <c r="C168" s="383" t="s">
        <v>477</v>
      </c>
      <c r="D168" s="373">
        <f>E168+F168+J168+N168+O168+P168</f>
        <v>100.00000000000003</v>
      </c>
      <c r="E168" s="374">
        <v>5.7404032465517972E-2</v>
      </c>
      <c r="F168" s="375">
        <f>SUM(G168:I168)</f>
        <v>34.348507904533449</v>
      </c>
      <c r="G168" s="374">
        <v>1.0666796312008522</v>
      </c>
      <c r="H168" s="374">
        <v>3.537545306804283</v>
      </c>
      <c r="I168" s="374">
        <v>29.744282966528313</v>
      </c>
      <c r="J168" s="375">
        <f>SUM(K168:M168)</f>
        <v>62.157587666409327</v>
      </c>
      <c r="K168" s="374">
        <v>54.453615180324988</v>
      </c>
      <c r="L168" s="374">
        <v>7.6549008215566179</v>
      </c>
      <c r="M168" s="374">
        <v>4.9071664527722159E-2</v>
      </c>
      <c r="N168" s="374">
        <v>0</v>
      </c>
      <c r="O168" s="374">
        <v>0</v>
      </c>
      <c r="P168" s="374">
        <v>3.4365003965917205</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5">E170+F170+J170+N170+O170+P170</f>
        <v>100.00000000000003</v>
      </c>
      <c r="E170" s="370">
        <v>5.7404032465517972E-2</v>
      </c>
      <c r="F170" s="371">
        <f t="shared" ref="F170:F185" si="96">SUM(G170:I170)</f>
        <v>34.348507904533449</v>
      </c>
      <c r="G170" s="370">
        <v>1.0666796312008522</v>
      </c>
      <c r="H170" s="370">
        <v>3.537545306804283</v>
      </c>
      <c r="I170" s="370">
        <v>29.744282966528313</v>
      </c>
      <c r="J170" s="371">
        <f t="shared" ref="J170:J185" si="97">SUM(K170:M170)</f>
        <v>62.157587666409327</v>
      </c>
      <c r="K170" s="370">
        <v>54.453615180324988</v>
      </c>
      <c r="L170" s="370">
        <v>7.6549008215566179</v>
      </c>
      <c r="M170" s="370">
        <v>4.9071664527722159E-2</v>
      </c>
      <c r="N170" s="370">
        <v>0</v>
      </c>
      <c r="O170" s="370">
        <v>0</v>
      </c>
      <c r="P170" s="370">
        <v>3.4365003965917205</v>
      </c>
    </row>
    <row r="171" spans="2:16" s="1" customFormat="1" x14ac:dyDescent="0.25">
      <c r="B171" s="380">
        <v>2</v>
      </c>
      <c r="C171" s="381" t="s">
        <v>481</v>
      </c>
      <c r="D171" s="369">
        <f t="shared" si="95"/>
        <v>100.00000000000003</v>
      </c>
      <c r="E171" s="370">
        <v>5.7404032465517972E-2</v>
      </c>
      <c r="F171" s="371">
        <f t="shared" si="96"/>
        <v>34.348507904533449</v>
      </c>
      <c r="G171" s="370">
        <v>1.0666796312008522</v>
      </c>
      <c r="H171" s="370">
        <v>3.537545306804283</v>
      </c>
      <c r="I171" s="370">
        <v>29.744282966528313</v>
      </c>
      <c r="J171" s="371">
        <f t="shared" si="97"/>
        <v>62.157587666409327</v>
      </c>
      <c r="K171" s="370">
        <v>54.453615180324988</v>
      </c>
      <c r="L171" s="370">
        <v>7.6549008215566179</v>
      </c>
      <c r="M171" s="370">
        <v>4.9071664527722159E-2</v>
      </c>
      <c r="N171" s="370">
        <v>0</v>
      </c>
      <c r="O171" s="370">
        <v>0</v>
      </c>
      <c r="P171" s="370">
        <v>3.4365003965917205</v>
      </c>
    </row>
    <row r="172" spans="2:16" s="1" customFormat="1" x14ac:dyDescent="0.25">
      <c r="B172" s="380">
        <v>3</v>
      </c>
      <c r="C172" s="381" t="s">
        <v>482</v>
      </c>
      <c r="D172" s="369">
        <f t="shared" si="95"/>
        <v>100.00000000000003</v>
      </c>
      <c r="E172" s="370">
        <v>5.7404032465517972E-2</v>
      </c>
      <c r="F172" s="371">
        <f t="shared" si="96"/>
        <v>34.348507904533449</v>
      </c>
      <c r="G172" s="370">
        <v>1.0666796312008522</v>
      </c>
      <c r="H172" s="370">
        <v>3.537545306804283</v>
      </c>
      <c r="I172" s="370">
        <v>29.744282966528313</v>
      </c>
      <c r="J172" s="371">
        <f t="shared" si="97"/>
        <v>62.157587666409327</v>
      </c>
      <c r="K172" s="370">
        <v>54.453615180324988</v>
      </c>
      <c r="L172" s="370">
        <v>7.6549008215566179</v>
      </c>
      <c r="M172" s="370">
        <v>4.9071664527722159E-2</v>
      </c>
      <c r="N172" s="370">
        <v>0</v>
      </c>
      <c r="O172" s="370">
        <v>0</v>
      </c>
      <c r="P172" s="370">
        <v>3.4365003965917205</v>
      </c>
    </row>
    <row r="173" spans="2:16" s="1" customFormat="1" x14ac:dyDescent="0.25">
      <c r="B173" s="380">
        <v>4</v>
      </c>
      <c r="C173" s="381" t="s">
        <v>483</v>
      </c>
      <c r="D173" s="369">
        <f t="shared" si="95"/>
        <v>100.00000000000003</v>
      </c>
      <c r="E173" s="370">
        <v>5.7404032465517972E-2</v>
      </c>
      <c r="F173" s="371">
        <f t="shared" si="96"/>
        <v>34.348507904533449</v>
      </c>
      <c r="G173" s="370">
        <v>1.0666796312008522</v>
      </c>
      <c r="H173" s="370">
        <v>3.537545306804283</v>
      </c>
      <c r="I173" s="370">
        <v>29.744282966528313</v>
      </c>
      <c r="J173" s="371">
        <f t="shared" si="97"/>
        <v>62.157587666409327</v>
      </c>
      <c r="K173" s="370">
        <v>54.453615180324988</v>
      </c>
      <c r="L173" s="370">
        <v>7.6549008215566179</v>
      </c>
      <c r="M173" s="370">
        <v>4.9071664527722159E-2</v>
      </c>
      <c r="N173" s="370">
        <v>0</v>
      </c>
      <c r="O173" s="370">
        <v>0</v>
      </c>
      <c r="P173" s="370">
        <v>3.4365003965917205</v>
      </c>
    </row>
    <row r="174" spans="2:16" s="1" customFormat="1" x14ac:dyDescent="0.25">
      <c r="B174" s="380">
        <v>5</v>
      </c>
      <c r="C174" s="381" t="s">
        <v>484</v>
      </c>
      <c r="D174" s="369">
        <f t="shared" si="95"/>
        <v>100.00000000000003</v>
      </c>
      <c r="E174" s="370">
        <v>5.7404032465517972E-2</v>
      </c>
      <c r="F174" s="371">
        <f t="shared" si="96"/>
        <v>34.348507904533449</v>
      </c>
      <c r="G174" s="370">
        <v>1.0666796312008522</v>
      </c>
      <c r="H174" s="370">
        <v>3.537545306804283</v>
      </c>
      <c r="I174" s="370">
        <v>29.744282966528313</v>
      </c>
      <c r="J174" s="371">
        <f t="shared" si="97"/>
        <v>62.157587666409327</v>
      </c>
      <c r="K174" s="370">
        <v>54.453615180324988</v>
      </c>
      <c r="L174" s="370">
        <v>7.6549008215566179</v>
      </c>
      <c r="M174" s="370">
        <v>4.9071664527722159E-2</v>
      </c>
      <c r="N174" s="370">
        <v>0</v>
      </c>
      <c r="O174" s="370">
        <v>0</v>
      </c>
      <c r="P174" s="370">
        <v>3.4365003965917205</v>
      </c>
    </row>
    <row r="175" spans="2:16" s="1" customFormat="1" x14ac:dyDescent="0.25">
      <c r="B175" s="380">
        <v>6</v>
      </c>
      <c r="C175" s="381" t="s">
        <v>485</v>
      </c>
      <c r="D175" s="369">
        <f t="shared" si="95"/>
        <v>100.00000000000003</v>
      </c>
      <c r="E175" s="370">
        <v>5.7404032465517972E-2</v>
      </c>
      <c r="F175" s="371">
        <f t="shared" si="96"/>
        <v>34.348507904533449</v>
      </c>
      <c r="G175" s="370">
        <v>1.0666796312008522</v>
      </c>
      <c r="H175" s="370">
        <v>3.537545306804283</v>
      </c>
      <c r="I175" s="370">
        <v>29.744282966528313</v>
      </c>
      <c r="J175" s="371">
        <f t="shared" si="97"/>
        <v>62.157587666409327</v>
      </c>
      <c r="K175" s="370">
        <v>54.453615180324988</v>
      </c>
      <c r="L175" s="370">
        <v>7.6549008215566179</v>
      </c>
      <c r="M175" s="370">
        <v>4.9071664527722159E-2</v>
      </c>
      <c r="N175" s="370">
        <v>0</v>
      </c>
      <c r="O175" s="370">
        <v>0</v>
      </c>
      <c r="P175" s="370">
        <v>3.4365003965917205</v>
      </c>
    </row>
    <row r="176" spans="2:16" s="1" customFormat="1" x14ac:dyDescent="0.25">
      <c r="B176" s="380">
        <v>7</v>
      </c>
      <c r="C176" s="381" t="s">
        <v>486</v>
      </c>
      <c r="D176" s="369">
        <f t="shared" si="95"/>
        <v>100.00000000000003</v>
      </c>
      <c r="E176" s="370">
        <v>5.7404032465517972E-2</v>
      </c>
      <c r="F176" s="371">
        <f t="shared" si="96"/>
        <v>34.348507904533449</v>
      </c>
      <c r="G176" s="370">
        <v>1.0666796312008522</v>
      </c>
      <c r="H176" s="370">
        <v>3.537545306804283</v>
      </c>
      <c r="I176" s="370">
        <v>29.744282966528313</v>
      </c>
      <c r="J176" s="371">
        <f t="shared" si="97"/>
        <v>62.157587666409327</v>
      </c>
      <c r="K176" s="370">
        <v>54.453615180324988</v>
      </c>
      <c r="L176" s="370">
        <v>7.6549008215566179</v>
      </c>
      <c r="M176" s="370">
        <v>4.9071664527722159E-2</v>
      </c>
      <c r="N176" s="370">
        <v>0</v>
      </c>
      <c r="O176" s="370">
        <v>0</v>
      </c>
      <c r="P176" s="370">
        <v>3.4365003965917205</v>
      </c>
    </row>
    <row r="177" spans="1:19" s="1" customFormat="1" x14ac:dyDescent="0.25">
      <c r="B177" s="380">
        <v>8</v>
      </c>
      <c r="C177" s="381" t="s">
        <v>487</v>
      </c>
      <c r="D177" s="369">
        <f t="shared" si="95"/>
        <v>100.00000000000003</v>
      </c>
      <c r="E177" s="370">
        <v>5.7404032465517972E-2</v>
      </c>
      <c r="F177" s="371">
        <f t="shared" si="96"/>
        <v>34.348507904533449</v>
      </c>
      <c r="G177" s="370">
        <v>1.0666796312008522</v>
      </c>
      <c r="H177" s="370">
        <v>3.537545306804283</v>
      </c>
      <c r="I177" s="370">
        <v>29.744282966528313</v>
      </c>
      <c r="J177" s="371">
        <f t="shared" si="97"/>
        <v>62.157587666409327</v>
      </c>
      <c r="K177" s="370">
        <v>54.453615180324988</v>
      </c>
      <c r="L177" s="370">
        <v>7.6549008215566179</v>
      </c>
      <c r="M177" s="370">
        <v>4.9071664527722159E-2</v>
      </c>
      <c r="N177" s="370">
        <v>0</v>
      </c>
      <c r="O177" s="370">
        <v>0</v>
      </c>
      <c r="P177" s="370">
        <v>3.4365003965917205</v>
      </c>
    </row>
    <row r="178" spans="1:19" s="1" customFormat="1" x14ac:dyDescent="0.25">
      <c r="B178" s="380">
        <v>9</v>
      </c>
      <c r="C178" s="381" t="s">
        <v>488</v>
      </c>
      <c r="D178" s="369">
        <f t="shared" si="95"/>
        <v>100.00000000000003</v>
      </c>
      <c r="E178" s="370">
        <v>5.7404032465517972E-2</v>
      </c>
      <c r="F178" s="371">
        <f t="shared" si="96"/>
        <v>34.348507904533449</v>
      </c>
      <c r="G178" s="370">
        <v>1.0666796312008522</v>
      </c>
      <c r="H178" s="370">
        <v>3.537545306804283</v>
      </c>
      <c r="I178" s="370">
        <v>29.744282966528313</v>
      </c>
      <c r="J178" s="371">
        <f t="shared" si="97"/>
        <v>62.157587666409327</v>
      </c>
      <c r="K178" s="370">
        <v>54.453615180324988</v>
      </c>
      <c r="L178" s="370">
        <v>7.6549008215566179</v>
      </c>
      <c r="M178" s="370">
        <v>4.9071664527722159E-2</v>
      </c>
      <c r="N178" s="370">
        <v>0</v>
      </c>
      <c r="O178" s="370">
        <v>0</v>
      </c>
      <c r="P178" s="370">
        <v>3.4365003965917205</v>
      </c>
    </row>
    <row r="179" spans="1:19" s="1" customFormat="1" x14ac:dyDescent="0.25">
      <c r="B179" s="380">
        <v>10</v>
      </c>
      <c r="C179" s="381" t="s">
        <v>489</v>
      </c>
      <c r="D179" s="369">
        <f t="shared" si="95"/>
        <v>100.00000000000003</v>
      </c>
      <c r="E179" s="370">
        <v>5.7404032465517972E-2</v>
      </c>
      <c r="F179" s="371">
        <f t="shared" si="96"/>
        <v>34.348507904533449</v>
      </c>
      <c r="G179" s="370">
        <v>1.0666796312008522</v>
      </c>
      <c r="H179" s="370">
        <v>3.537545306804283</v>
      </c>
      <c r="I179" s="370">
        <v>29.744282966528313</v>
      </c>
      <c r="J179" s="371">
        <f t="shared" si="97"/>
        <v>62.157587666409327</v>
      </c>
      <c r="K179" s="370">
        <v>54.453615180324988</v>
      </c>
      <c r="L179" s="370">
        <v>7.6549008215566179</v>
      </c>
      <c r="M179" s="370">
        <v>4.9071664527722159E-2</v>
      </c>
      <c r="N179" s="370">
        <v>0</v>
      </c>
      <c r="O179" s="370">
        <v>0</v>
      </c>
      <c r="P179" s="370">
        <v>3.4365003965917205</v>
      </c>
    </row>
    <row r="180" spans="1:19" s="1" customFormat="1" x14ac:dyDescent="0.25">
      <c r="B180" s="380">
        <v>11</v>
      </c>
      <c r="C180" s="381" t="s">
        <v>490</v>
      </c>
      <c r="D180" s="369">
        <f t="shared" si="95"/>
        <v>100.00000000000003</v>
      </c>
      <c r="E180" s="370">
        <v>5.7404032465517972E-2</v>
      </c>
      <c r="F180" s="371">
        <f t="shared" si="96"/>
        <v>34.348507904533449</v>
      </c>
      <c r="G180" s="370">
        <v>1.0666796312008522</v>
      </c>
      <c r="H180" s="370">
        <v>3.537545306804283</v>
      </c>
      <c r="I180" s="370">
        <v>29.744282966528313</v>
      </c>
      <c r="J180" s="371">
        <f t="shared" si="97"/>
        <v>62.157587666409327</v>
      </c>
      <c r="K180" s="370">
        <v>54.453615180324988</v>
      </c>
      <c r="L180" s="370">
        <v>7.6549008215566179</v>
      </c>
      <c r="M180" s="370">
        <v>4.9071664527722159E-2</v>
      </c>
      <c r="N180" s="370">
        <v>0</v>
      </c>
      <c r="O180" s="370">
        <v>0</v>
      </c>
      <c r="P180" s="370">
        <v>3.4365003965917205</v>
      </c>
    </row>
    <row r="181" spans="1:19" s="1" customFormat="1" x14ac:dyDescent="0.25">
      <c r="B181" s="380">
        <v>12</v>
      </c>
      <c r="C181" s="381" t="s">
        <v>491</v>
      </c>
      <c r="D181" s="369">
        <f t="shared" si="95"/>
        <v>100.00000000000003</v>
      </c>
      <c r="E181" s="370">
        <v>5.7404032465517972E-2</v>
      </c>
      <c r="F181" s="371">
        <f t="shared" si="96"/>
        <v>34.348507904533449</v>
      </c>
      <c r="G181" s="370">
        <v>1.0666796312008522</v>
      </c>
      <c r="H181" s="370">
        <v>3.537545306804283</v>
      </c>
      <c r="I181" s="370">
        <v>29.744282966528313</v>
      </c>
      <c r="J181" s="371">
        <f t="shared" si="97"/>
        <v>62.157587666409327</v>
      </c>
      <c r="K181" s="370">
        <v>54.453615180324988</v>
      </c>
      <c r="L181" s="370">
        <v>7.6549008215566179</v>
      </c>
      <c r="M181" s="370">
        <v>4.9071664527722159E-2</v>
      </c>
      <c r="N181" s="370">
        <v>0</v>
      </c>
      <c r="O181" s="370">
        <v>0</v>
      </c>
      <c r="P181" s="370">
        <v>3.4365003965917205</v>
      </c>
    </row>
    <row r="182" spans="1:19" s="1" customFormat="1" x14ac:dyDescent="0.25">
      <c r="B182" s="380">
        <v>13</v>
      </c>
      <c r="C182" s="381" t="s">
        <v>492</v>
      </c>
      <c r="D182" s="369">
        <f t="shared" si="95"/>
        <v>100.00000000000003</v>
      </c>
      <c r="E182" s="370">
        <v>5.7404032465517972E-2</v>
      </c>
      <c r="F182" s="371">
        <f t="shared" si="96"/>
        <v>34.348507904533449</v>
      </c>
      <c r="G182" s="370">
        <v>1.0666796312008522</v>
      </c>
      <c r="H182" s="370">
        <v>3.537545306804283</v>
      </c>
      <c r="I182" s="370">
        <v>29.744282966528313</v>
      </c>
      <c r="J182" s="371">
        <f t="shared" si="97"/>
        <v>62.157587666409327</v>
      </c>
      <c r="K182" s="370">
        <v>54.453615180324988</v>
      </c>
      <c r="L182" s="370">
        <v>7.6549008215566179</v>
      </c>
      <c r="M182" s="370">
        <v>4.9071664527722159E-2</v>
      </c>
      <c r="N182" s="370">
        <v>0</v>
      </c>
      <c r="O182" s="370">
        <v>0</v>
      </c>
      <c r="P182" s="370">
        <v>3.4365003965917205</v>
      </c>
    </row>
    <row r="183" spans="1:19" s="1" customFormat="1" ht="15.75" thickBot="1" x14ac:dyDescent="0.3">
      <c r="B183" s="382">
        <v>14</v>
      </c>
      <c r="C183" s="383" t="s">
        <v>493</v>
      </c>
      <c r="D183" s="373">
        <f t="shared" si="95"/>
        <v>100.00000000000003</v>
      </c>
      <c r="E183" s="374">
        <v>5.7404032465517972E-2</v>
      </c>
      <c r="F183" s="375">
        <f t="shared" si="96"/>
        <v>34.348507904533449</v>
      </c>
      <c r="G183" s="374">
        <v>1.0666796312008522</v>
      </c>
      <c r="H183" s="374">
        <v>3.537545306804283</v>
      </c>
      <c r="I183" s="374">
        <v>29.744282966528313</v>
      </c>
      <c r="J183" s="375">
        <f t="shared" si="97"/>
        <v>62.157587666409327</v>
      </c>
      <c r="K183" s="374">
        <v>54.453615180324988</v>
      </c>
      <c r="L183" s="374">
        <v>7.6549008215566179</v>
      </c>
      <c r="M183" s="374">
        <v>4.9071664527722159E-2</v>
      </c>
      <c r="N183" s="374">
        <v>0</v>
      </c>
      <c r="O183" s="374">
        <v>0</v>
      </c>
      <c r="P183" s="374">
        <v>3.4365003965917205</v>
      </c>
    </row>
    <row r="184" spans="1:19" s="1" customFormat="1" ht="15.75" thickBot="1" x14ac:dyDescent="0.3">
      <c r="B184" s="384" t="s">
        <v>494</v>
      </c>
      <c r="C184" s="385" t="s">
        <v>392</v>
      </c>
      <c r="D184" s="386">
        <f t="shared" si="95"/>
        <v>100.00000000000003</v>
      </c>
      <c r="E184" s="387">
        <v>5.7404032465517972E-2</v>
      </c>
      <c r="F184" s="388">
        <f t="shared" si="96"/>
        <v>34.348507904533449</v>
      </c>
      <c r="G184" s="387">
        <v>1.0666796312008522</v>
      </c>
      <c r="H184" s="387">
        <v>3.537545306804283</v>
      </c>
      <c r="I184" s="387">
        <v>29.744282966528313</v>
      </c>
      <c r="J184" s="388">
        <f t="shared" si="97"/>
        <v>62.157587666409327</v>
      </c>
      <c r="K184" s="387">
        <v>54.453615180324988</v>
      </c>
      <c r="L184" s="387">
        <v>7.6549008215566179</v>
      </c>
      <c r="M184" s="387">
        <v>4.9071664527722159E-2</v>
      </c>
      <c r="N184" s="387">
        <v>0</v>
      </c>
      <c r="O184" s="387">
        <v>0</v>
      </c>
      <c r="P184" s="387">
        <v>3.4365003965917205</v>
      </c>
    </row>
    <row r="185" spans="1:19" s="1" customFormat="1" ht="15.75" thickBot="1" x14ac:dyDescent="0.3">
      <c r="B185" s="391" t="s">
        <v>495</v>
      </c>
      <c r="C185" s="392" t="s">
        <v>394</v>
      </c>
      <c r="D185" s="393">
        <f t="shared" si="95"/>
        <v>100.00000000000003</v>
      </c>
      <c r="E185" s="394">
        <v>5.7404032465517972E-2</v>
      </c>
      <c r="F185" s="395">
        <f t="shared" si="96"/>
        <v>34.348507904533449</v>
      </c>
      <c r="G185" s="394">
        <v>1.0666796312008522</v>
      </c>
      <c r="H185" s="394">
        <v>3.537545306804283</v>
      </c>
      <c r="I185" s="394">
        <v>29.744282966528313</v>
      </c>
      <c r="J185" s="395">
        <f t="shared" si="97"/>
        <v>62.157587666409327</v>
      </c>
      <c r="K185" s="394">
        <v>54.453615180324988</v>
      </c>
      <c r="L185" s="394">
        <v>7.6549008215566179</v>
      </c>
      <c r="M185" s="394">
        <v>4.9071664527722159E-2</v>
      </c>
      <c r="N185" s="394">
        <v>0</v>
      </c>
      <c r="O185" s="394">
        <v>0</v>
      </c>
      <c r="P185" s="394">
        <v>3.4365003965917205</v>
      </c>
    </row>
    <row r="186" spans="1:19" s="1" customFormat="1" ht="45" customHeight="1" thickTop="1" thickBot="1" x14ac:dyDescent="0.3">
      <c r="B186" s="134" t="s">
        <v>77</v>
      </c>
      <c r="C186" s="135" t="s">
        <v>496</v>
      </c>
      <c r="D186" s="324">
        <f t="shared" ref="D186:P186" si="98">D187+D189+D192+D194+D201+D200+D206+D210+D213+D229+D230</f>
        <v>134.02099168158668</v>
      </c>
      <c r="E186" s="396">
        <f t="shared" si="98"/>
        <v>21.599017569008538</v>
      </c>
      <c r="F186" s="134">
        <f t="shared" si="98"/>
        <v>37.958940546096464</v>
      </c>
      <c r="G186" s="229">
        <f t="shared" si="98"/>
        <v>8.3622993777489896</v>
      </c>
      <c r="H186" s="230">
        <f t="shared" si="98"/>
        <v>4.1209876319418459</v>
      </c>
      <c r="I186" s="231">
        <f t="shared" si="98"/>
        <v>25.475653536405627</v>
      </c>
      <c r="J186" s="134">
        <f t="shared" si="98"/>
        <v>57.811784560456026</v>
      </c>
      <c r="K186" s="229">
        <f t="shared" si="98"/>
        <v>37.777045633341146</v>
      </c>
      <c r="L186" s="230">
        <f t="shared" si="98"/>
        <v>15.813404815980435</v>
      </c>
      <c r="M186" s="230">
        <f t="shared" si="98"/>
        <v>4.2213341111344587</v>
      </c>
      <c r="N186" s="227">
        <f t="shared" si="98"/>
        <v>2.8388671523233429</v>
      </c>
      <c r="O186" s="228">
        <f t="shared" si="98"/>
        <v>0</v>
      </c>
      <c r="P186" s="134">
        <f t="shared" si="98"/>
        <v>13.812381853702297</v>
      </c>
      <c r="Q186" s="325"/>
      <c r="R186" s="326"/>
      <c r="S186" s="205"/>
    </row>
    <row r="187" spans="1:19" s="1" customFormat="1" ht="15.75" thickTop="1" x14ac:dyDescent="0.25">
      <c r="B187" s="397" t="s">
        <v>497</v>
      </c>
      <c r="C187" s="398" t="s">
        <v>303</v>
      </c>
      <c r="D187" s="399">
        <f t="shared" ref="D187:P187" si="99">D188</f>
        <v>0.93090000000000006</v>
      </c>
      <c r="E187" s="400">
        <f t="shared" si="99"/>
        <v>0.15490216378916388</v>
      </c>
      <c r="F187" s="397">
        <f t="shared" si="99"/>
        <v>0.2571518538947099</v>
      </c>
      <c r="G187" s="401">
        <f t="shared" si="99"/>
        <v>5.3268295444039861E-2</v>
      </c>
      <c r="H187" s="402">
        <f t="shared" si="99"/>
        <v>2.8719898374880627E-2</v>
      </c>
      <c r="I187" s="403">
        <f t="shared" si="99"/>
        <v>0.17516366007578943</v>
      </c>
      <c r="J187" s="397">
        <f t="shared" si="99"/>
        <v>0.39982819869466013</v>
      </c>
      <c r="K187" s="401">
        <f t="shared" si="99"/>
        <v>0.25913858231579673</v>
      </c>
      <c r="L187" s="402">
        <f t="shared" si="99"/>
        <v>0.1104818715787812</v>
      </c>
      <c r="M187" s="402">
        <f t="shared" si="99"/>
        <v>3.020774480008219E-2</v>
      </c>
      <c r="N187" s="404">
        <f t="shared" si="99"/>
        <v>2.055487981229711E-2</v>
      </c>
      <c r="O187" s="405">
        <f t="shared" si="99"/>
        <v>0</v>
      </c>
      <c r="P187" s="397">
        <f t="shared" si="99"/>
        <v>9.8462903809169097E-2</v>
      </c>
      <c r="Q187" s="325"/>
      <c r="R187" s="326"/>
    </row>
    <row r="188" spans="1:19" s="1" customFormat="1" ht="26.25" thickBot="1" x14ac:dyDescent="0.3">
      <c r="A188" s="406"/>
      <c r="B188" s="171" t="s">
        <v>498</v>
      </c>
      <c r="C188" s="168" t="s">
        <v>499</v>
      </c>
      <c r="D188" s="407">
        <v>0.93090000000000006</v>
      </c>
      <c r="E188" s="408">
        <f>IFERROR($D188*E$237/100, 0)</f>
        <v>0.15490216378916388</v>
      </c>
      <c r="F188" s="314">
        <f>SUM(G188:I188)</f>
        <v>0.2571518538947099</v>
      </c>
      <c r="G188" s="409">
        <f>IFERROR($D188*G$237/100, 0)</f>
        <v>5.3268295444039861E-2</v>
      </c>
      <c r="H188" s="410">
        <f>IFERROR($D188*H$237/100, 0)</f>
        <v>2.8719898374880627E-2</v>
      </c>
      <c r="I188" s="411">
        <f>IFERROR($D188*I$237/100, 0)</f>
        <v>0.17516366007578943</v>
      </c>
      <c r="J188" s="314">
        <f t="shared" ref="J188:J235" si="100">SUM(K188:M188)</f>
        <v>0.39982819869466013</v>
      </c>
      <c r="K188" s="409">
        <f t="shared" ref="K188:P188" si="101">IFERROR($D188*K$237/100, 0)</f>
        <v>0.25913858231579673</v>
      </c>
      <c r="L188" s="410">
        <f t="shared" si="101"/>
        <v>0.1104818715787812</v>
      </c>
      <c r="M188" s="410">
        <f t="shared" si="101"/>
        <v>3.020774480008219E-2</v>
      </c>
      <c r="N188" s="412">
        <f t="shared" si="101"/>
        <v>2.055487981229711E-2</v>
      </c>
      <c r="O188" s="413">
        <f t="shared" si="101"/>
        <v>0</v>
      </c>
      <c r="P188" s="314">
        <f t="shared" si="101"/>
        <v>9.8462903809169097E-2</v>
      </c>
      <c r="Q188" s="336"/>
      <c r="R188" s="337"/>
    </row>
    <row r="189" spans="1:19" s="4" customFormat="1" x14ac:dyDescent="0.25">
      <c r="B189" s="150" t="s">
        <v>171</v>
      </c>
      <c r="C189" s="204" t="s">
        <v>313</v>
      </c>
      <c r="D189" s="338">
        <f t="shared" ref="D189:I189" si="102">SUM(D190:D191)</f>
        <v>0</v>
      </c>
      <c r="E189" s="414">
        <f t="shared" si="102"/>
        <v>0</v>
      </c>
      <c r="F189" s="154">
        <f t="shared" si="102"/>
        <v>0</v>
      </c>
      <c r="G189" s="155">
        <f t="shared" si="102"/>
        <v>0</v>
      </c>
      <c r="H189" s="156">
        <f t="shared" si="102"/>
        <v>0</v>
      </c>
      <c r="I189" s="157">
        <f t="shared" si="102"/>
        <v>0</v>
      </c>
      <c r="J189" s="154">
        <f t="shared" si="100"/>
        <v>0</v>
      </c>
      <c r="K189" s="155">
        <f t="shared" ref="K189:P189" si="103">SUM(K190:K191)</f>
        <v>0</v>
      </c>
      <c r="L189" s="156">
        <f t="shared" si="103"/>
        <v>0</v>
      </c>
      <c r="M189" s="156">
        <f t="shared" si="103"/>
        <v>0</v>
      </c>
      <c r="N189" s="152">
        <f t="shared" si="103"/>
        <v>0</v>
      </c>
      <c r="O189" s="153">
        <f t="shared" si="103"/>
        <v>0</v>
      </c>
      <c r="P189" s="154">
        <f t="shared" si="103"/>
        <v>0</v>
      </c>
      <c r="Q189" s="325"/>
      <c r="R189" s="326"/>
    </row>
    <row r="190" spans="1:19" s="1" customFormat="1" x14ac:dyDescent="0.25">
      <c r="B190" s="259" t="s">
        <v>500</v>
      </c>
      <c r="C190" s="168" t="s">
        <v>501</v>
      </c>
      <c r="D190" s="335">
        <v>0</v>
      </c>
      <c r="E190" s="415">
        <f>IFERROR($D190*E$237/100, 0)</f>
        <v>0</v>
      </c>
      <c r="F190" s="206">
        <f t="shared" ref="F190:F235" si="104">SUM(G190:I190)</f>
        <v>0</v>
      </c>
      <c r="G190" s="210">
        <f t="shared" ref="G190:I191" si="105">IFERROR($D190*G$237/100, 0)</f>
        <v>0</v>
      </c>
      <c r="H190" s="211">
        <f t="shared" si="105"/>
        <v>0</v>
      </c>
      <c r="I190" s="212">
        <f t="shared" si="105"/>
        <v>0</v>
      </c>
      <c r="J190" s="206">
        <f t="shared" si="100"/>
        <v>0</v>
      </c>
      <c r="K190" s="210">
        <f t="shared" ref="K190:P191" si="106">IFERROR($D190*K$237/100, 0)</f>
        <v>0</v>
      </c>
      <c r="L190" s="211">
        <f t="shared" si="106"/>
        <v>0</v>
      </c>
      <c r="M190" s="211">
        <f t="shared" si="106"/>
        <v>0</v>
      </c>
      <c r="N190" s="208">
        <f t="shared" si="106"/>
        <v>0</v>
      </c>
      <c r="O190" s="209">
        <f t="shared" si="106"/>
        <v>0</v>
      </c>
      <c r="P190" s="206">
        <f t="shared" si="106"/>
        <v>0</v>
      </c>
      <c r="Q190" s="336"/>
      <c r="R190" s="337"/>
    </row>
    <row r="191" spans="1:19" s="1" customFormat="1" ht="15.75" thickBot="1" x14ac:dyDescent="0.3">
      <c r="B191" s="416" t="s">
        <v>502</v>
      </c>
      <c r="C191" s="417" t="s">
        <v>317</v>
      </c>
      <c r="D191" s="345">
        <v>0</v>
      </c>
      <c r="E191" s="418">
        <f>IFERROR($D191*E$237/100, 0)</f>
        <v>0</v>
      </c>
      <c r="F191" s="347">
        <f t="shared" si="104"/>
        <v>0</v>
      </c>
      <c r="G191" s="348">
        <f t="shared" si="105"/>
        <v>0</v>
      </c>
      <c r="H191" s="349">
        <f t="shared" si="105"/>
        <v>0</v>
      </c>
      <c r="I191" s="350">
        <f t="shared" si="105"/>
        <v>0</v>
      </c>
      <c r="J191" s="347">
        <f t="shared" si="100"/>
        <v>0</v>
      </c>
      <c r="K191" s="348">
        <f t="shared" si="106"/>
        <v>0</v>
      </c>
      <c r="L191" s="349">
        <f t="shared" si="106"/>
        <v>0</v>
      </c>
      <c r="M191" s="349">
        <f t="shared" si="106"/>
        <v>0</v>
      </c>
      <c r="N191" s="351">
        <f t="shared" si="106"/>
        <v>0</v>
      </c>
      <c r="O191" s="346">
        <f t="shared" si="106"/>
        <v>0</v>
      </c>
      <c r="P191" s="347">
        <f t="shared" si="106"/>
        <v>0</v>
      </c>
      <c r="Q191" s="336"/>
      <c r="R191" s="337"/>
    </row>
    <row r="192" spans="1:19" s="1" customFormat="1" x14ac:dyDescent="0.25">
      <c r="B192" s="142" t="s">
        <v>173</v>
      </c>
      <c r="C192" s="143" t="s">
        <v>319</v>
      </c>
      <c r="D192" s="419">
        <f>D193</f>
        <v>1.07447</v>
      </c>
      <c r="E192" s="420">
        <f>E193</f>
        <v>0.17879227406439246</v>
      </c>
      <c r="F192" s="146">
        <f t="shared" si="104"/>
        <v>0.29681163653910081</v>
      </c>
      <c r="G192" s="147">
        <f>G193</f>
        <v>6.1483709749444095E-2</v>
      </c>
      <c r="H192" s="148">
        <f>H193</f>
        <v>3.3149284785538712E-2</v>
      </c>
      <c r="I192" s="149">
        <f>I193</f>
        <v>0.20217864200411803</v>
      </c>
      <c r="J192" s="146">
        <f t="shared" si="100"/>
        <v>0.46149253910350346</v>
      </c>
      <c r="K192" s="147">
        <f t="shared" ref="K192:P192" si="107">K193</f>
        <v>0.2991047723072876</v>
      </c>
      <c r="L192" s="148">
        <f t="shared" si="107"/>
        <v>0.12752116935788274</v>
      </c>
      <c r="M192" s="148">
        <f t="shared" si="107"/>
        <v>3.4866597438333126E-2</v>
      </c>
      <c r="N192" s="144">
        <f t="shared" si="107"/>
        <v>2.3724999153420211E-2</v>
      </c>
      <c r="O192" s="145">
        <f t="shared" si="107"/>
        <v>0</v>
      </c>
      <c r="P192" s="146">
        <f t="shared" si="107"/>
        <v>0.11364855113958311</v>
      </c>
      <c r="Q192" s="325"/>
      <c r="R192" s="326"/>
    </row>
    <row r="193" spans="2:18" s="1" customFormat="1" ht="15.75" thickBot="1" x14ac:dyDescent="0.3">
      <c r="B193" s="167" t="s">
        <v>503</v>
      </c>
      <c r="C193" s="168" t="s">
        <v>321</v>
      </c>
      <c r="D193" s="335">
        <v>1.07447</v>
      </c>
      <c r="E193" s="415">
        <f>IFERROR($D193*E$237/100, 0)</f>
        <v>0.17879227406439246</v>
      </c>
      <c r="F193" s="206">
        <f t="shared" si="104"/>
        <v>0.29681163653910081</v>
      </c>
      <c r="G193" s="210">
        <f>IFERROR($D193*G$237/100, 0)</f>
        <v>6.1483709749444095E-2</v>
      </c>
      <c r="H193" s="211">
        <f>IFERROR($D193*H$237/100, 0)</f>
        <v>3.3149284785538712E-2</v>
      </c>
      <c r="I193" s="212">
        <f>IFERROR($D193*I$237/100, 0)</f>
        <v>0.20217864200411803</v>
      </c>
      <c r="J193" s="206">
        <f t="shared" si="100"/>
        <v>0.46149253910350346</v>
      </c>
      <c r="K193" s="210">
        <f t="shared" ref="K193:P193" si="108">IFERROR($D193*K$237/100, 0)</f>
        <v>0.2991047723072876</v>
      </c>
      <c r="L193" s="211">
        <f t="shared" si="108"/>
        <v>0.12752116935788274</v>
      </c>
      <c r="M193" s="211">
        <f t="shared" si="108"/>
        <v>3.4866597438333126E-2</v>
      </c>
      <c r="N193" s="208">
        <f t="shared" si="108"/>
        <v>2.3724999153420211E-2</v>
      </c>
      <c r="O193" s="209">
        <f t="shared" si="108"/>
        <v>0</v>
      </c>
      <c r="P193" s="206">
        <f t="shared" si="108"/>
        <v>0.11364855113958311</v>
      </c>
      <c r="Q193" s="336"/>
      <c r="R193" s="337"/>
    </row>
    <row r="194" spans="2:18" s="4" customFormat="1" x14ac:dyDescent="0.25">
      <c r="B194" s="150" t="s">
        <v>175</v>
      </c>
      <c r="C194" s="204" t="s">
        <v>323</v>
      </c>
      <c r="D194" s="338">
        <f>SUM(D195:D199)</f>
        <v>2.12521</v>
      </c>
      <c r="E194" s="414">
        <f>SUM(E195:E199)</f>
        <v>0.35363586583560958</v>
      </c>
      <c r="F194" s="154">
        <f t="shared" si="104"/>
        <v>0.58706809691221018</v>
      </c>
      <c r="G194" s="155">
        <f>SUM(G195:G199)</f>
        <v>0.12160953288283161</v>
      </c>
      <c r="H194" s="156">
        <f>SUM(H195:H199)</f>
        <v>6.5566457433967176E-2</v>
      </c>
      <c r="I194" s="157">
        <f>SUM(I195:I199)</f>
        <v>0.39989210659541136</v>
      </c>
      <c r="J194" s="154">
        <f t="shared" si="100"/>
        <v>0.91279287372207385</v>
      </c>
      <c r="K194" s="155">
        <f t="shared" ref="K194:P194" si="109">SUM(K195:K199)</f>
        <v>0.59160372384075011</v>
      </c>
      <c r="L194" s="156">
        <f t="shared" si="109"/>
        <v>0.25222599451921968</v>
      </c>
      <c r="M194" s="156">
        <f t="shared" si="109"/>
        <v>6.8963155362104053E-2</v>
      </c>
      <c r="N194" s="152">
        <f t="shared" si="109"/>
        <v>4.6926024412817638E-2</v>
      </c>
      <c r="O194" s="153">
        <f t="shared" si="109"/>
        <v>0</v>
      </c>
      <c r="P194" s="154">
        <f t="shared" si="109"/>
        <v>0.22478713911728893</v>
      </c>
      <c r="Q194" s="325"/>
      <c r="R194" s="326"/>
    </row>
    <row r="195" spans="2:18" s="1" customFormat="1" x14ac:dyDescent="0.25">
      <c r="B195" s="167" t="s">
        <v>504</v>
      </c>
      <c r="C195" s="168" t="s">
        <v>277</v>
      </c>
      <c r="D195" s="335">
        <v>0</v>
      </c>
      <c r="E195" s="415">
        <f>IFERROR($D195*E$237/100, 0)</f>
        <v>0</v>
      </c>
      <c r="F195" s="206">
        <f t="shared" si="104"/>
        <v>0</v>
      </c>
      <c r="G195" s="210">
        <f t="shared" ref="G195:I199" si="110">IFERROR($D195*G$237/100, 0)</f>
        <v>0</v>
      </c>
      <c r="H195" s="211">
        <f t="shared" si="110"/>
        <v>0</v>
      </c>
      <c r="I195" s="212">
        <f t="shared" si="110"/>
        <v>0</v>
      </c>
      <c r="J195" s="206">
        <f t="shared" si="100"/>
        <v>0</v>
      </c>
      <c r="K195" s="210">
        <f t="shared" ref="K195:P199" si="111">IFERROR($D195*K$237/100, 0)</f>
        <v>0</v>
      </c>
      <c r="L195" s="211">
        <f t="shared" si="111"/>
        <v>0</v>
      </c>
      <c r="M195" s="211">
        <f t="shared" si="111"/>
        <v>0</v>
      </c>
      <c r="N195" s="208">
        <f t="shared" si="111"/>
        <v>0</v>
      </c>
      <c r="O195" s="209">
        <f t="shared" si="111"/>
        <v>0</v>
      </c>
      <c r="P195" s="206">
        <f t="shared" si="111"/>
        <v>0</v>
      </c>
      <c r="Q195" s="336"/>
      <c r="R195" s="337"/>
    </row>
    <row r="196" spans="2:18" s="1" customFormat="1" x14ac:dyDescent="0.25">
      <c r="B196" s="167" t="s">
        <v>505</v>
      </c>
      <c r="C196" s="168" t="s">
        <v>281</v>
      </c>
      <c r="D196" s="335">
        <v>2.12521</v>
      </c>
      <c r="E196" s="415">
        <f>IFERROR($D196*E$237/100, 0)</f>
        <v>0.35363586583560958</v>
      </c>
      <c r="F196" s="206">
        <f t="shared" si="104"/>
        <v>0.58706809691221018</v>
      </c>
      <c r="G196" s="210">
        <f t="shared" si="110"/>
        <v>0.12160953288283161</v>
      </c>
      <c r="H196" s="211">
        <f t="shared" si="110"/>
        <v>6.5566457433967176E-2</v>
      </c>
      <c r="I196" s="212">
        <f t="shared" si="110"/>
        <v>0.39989210659541136</v>
      </c>
      <c r="J196" s="206">
        <f t="shared" si="100"/>
        <v>0.91279287372207385</v>
      </c>
      <c r="K196" s="210">
        <f t="shared" si="111"/>
        <v>0.59160372384075011</v>
      </c>
      <c r="L196" s="211">
        <f t="shared" si="111"/>
        <v>0.25222599451921968</v>
      </c>
      <c r="M196" s="211">
        <f t="shared" si="111"/>
        <v>6.8963155362104053E-2</v>
      </c>
      <c r="N196" s="208">
        <f t="shared" si="111"/>
        <v>4.6926024412817638E-2</v>
      </c>
      <c r="O196" s="209">
        <f t="shared" si="111"/>
        <v>0</v>
      </c>
      <c r="P196" s="206">
        <f t="shared" si="111"/>
        <v>0.22478713911728893</v>
      </c>
      <c r="Q196" s="336"/>
      <c r="R196" s="337"/>
    </row>
    <row r="197" spans="2:18" s="1" customFormat="1" x14ac:dyDescent="0.25">
      <c r="B197" s="167" t="s">
        <v>506</v>
      </c>
      <c r="C197" s="250" t="s">
        <v>327</v>
      </c>
      <c r="D197" s="335">
        <v>0</v>
      </c>
      <c r="E197" s="415">
        <f>IFERROR($D197*E$237/100, 0)</f>
        <v>0</v>
      </c>
      <c r="F197" s="206">
        <f t="shared" si="104"/>
        <v>0</v>
      </c>
      <c r="G197" s="210">
        <f t="shared" si="110"/>
        <v>0</v>
      </c>
      <c r="H197" s="211">
        <f t="shared" si="110"/>
        <v>0</v>
      </c>
      <c r="I197" s="212">
        <f t="shared" si="110"/>
        <v>0</v>
      </c>
      <c r="J197" s="206">
        <f t="shared" si="100"/>
        <v>0</v>
      </c>
      <c r="K197" s="210">
        <f t="shared" si="111"/>
        <v>0</v>
      </c>
      <c r="L197" s="211">
        <f t="shared" si="111"/>
        <v>0</v>
      </c>
      <c r="M197" s="211">
        <f t="shared" si="111"/>
        <v>0</v>
      </c>
      <c r="N197" s="208">
        <f t="shared" si="111"/>
        <v>0</v>
      </c>
      <c r="O197" s="209">
        <f t="shared" si="111"/>
        <v>0</v>
      </c>
      <c r="P197" s="206">
        <f t="shared" si="111"/>
        <v>0</v>
      </c>
      <c r="Q197" s="336"/>
      <c r="R197" s="337"/>
    </row>
    <row r="198" spans="2:18" s="1" customFormat="1" x14ac:dyDescent="0.25">
      <c r="B198" s="167" t="s">
        <v>507</v>
      </c>
      <c r="C198" s="251" t="s">
        <v>279</v>
      </c>
      <c r="D198" s="335">
        <v>0</v>
      </c>
      <c r="E198" s="415">
        <f>IFERROR($D198*E$237/100, 0)</f>
        <v>0</v>
      </c>
      <c r="F198" s="206">
        <f t="shared" si="104"/>
        <v>0</v>
      </c>
      <c r="G198" s="210">
        <f t="shared" si="110"/>
        <v>0</v>
      </c>
      <c r="H198" s="211">
        <f t="shared" si="110"/>
        <v>0</v>
      </c>
      <c r="I198" s="212">
        <f t="shared" si="110"/>
        <v>0</v>
      </c>
      <c r="J198" s="206">
        <f t="shared" si="100"/>
        <v>0</v>
      </c>
      <c r="K198" s="210">
        <f t="shared" si="111"/>
        <v>0</v>
      </c>
      <c r="L198" s="211">
        <f t="shared" si="111"/>
        <v>0</v>
      </c>
      <c r="M198" s="211">
        <f t="shared" si="111"/>
        <v>0</v>
      </c>
      <c r="N198" s="208">
        <f t="shared" si="111"/>
        <v>0</v>
      </c>
      <c r="O198" s="209">
        <f t="shared" si="111"/>
        <v>0</v>
      </c>
      <c r="P198" s="206">
        <f t="shared" si="111"/>
        <v>0</v>
      </c>
      <c r="Q198" s="336"/>
      <c r="R198" s="337"/>
    </row>
    <row r="199" spans="2:18" s="1" customFormat="1" ht="27" thickBot="1" x14ac:dyDescent="0.3">
      <c r="B199" s="167" t="s">
        <v>508</v>
      </c>
      <c r="C199" s="251" t="s">
        <v>330</v>
      </c>
      <c r="D199" s="335">
        <v>0</v>
      </c>
      <c r="E199" s="415">
        <f>IFERROR($D199*E$237/100, 0)</f>
        <v>0</v>
      </c>
      <c r="F199" s="206">
        <f t="shared" si="104"/>
        <v>0</v>
      </c>
      <c r="G199" s="210">
        <f t="shared" si="110"/>
        <v>0</v>
      </c>
      <c r="H199" s="211">
        <f t="shared" si="110"/>
        <v>0</v>
      </c>
      <c r="I199" s="212">
        <f t="shared" si="110"/>
        <v>0</v>
      </c>
      <c r="J199" s="206">
        <f t="shared" si="100"/>
        <v>0</v>
      </c>
      <c r="K199" s="210">
        <f t="shared" si="111"/>
        <v>0</v>
      </c>
      <c r="L199" s="211">
        <f t="shared" si="111"/>
        <v>0</v>
      </c>
      <c r="M199" s="211">
        <f t="shared" si="111"/>
        <v>0</v>
      </c>
      <c r="N199" s="208">
        <f t="shared" si="111"/>
        <v>0</v>
      </c>
      <c r="O199" s="209">
        <f t="shared" si="111"/>
        <v>0</v>
      </c>
      <c r="P199" s="206">
        <f t="shared" si="111"/>
        <v>0</v>
      </c>
      <c r="Q199" s="336"/>
      <c r="R199" s="337"/>
    </row>
    <row r="200" spans="2:18" s="4" customFormat="1" ht="15.75" thickBot="1" x14ac:dyDescent="0.3">
      <c r="B200" s="150" t="s">
        <v>177</v>
      </c>
      <c r="C200" s="239" t="s">
        <v>332</v>
      </c>
      <c r="D200" s="421">
        <v>5.452911681586678</v>
      </c>
      <c r="E200" s="414">
        <f>IFERROR($D200*E$238/100, 0)</f>
        <v>0.2052332890447077</v>
      </c>
      <c r="F200" s="154">
        <f t="shared" si="104"/>
        <v>2.4432888931977992</v>
      </c>
      <c r="G200" s="155">
        <f>IFERROR($D200*G$238/100, 0)</f>
        <v>1.0053303476566584</v>
      </c>
      <c r="H200" s="156">
        <f>IFERROR($D200*H$238/100, 0)</f>
        <v>0.15443677593849225</v>
      </c>
      <c r="I200" s="157">
        <f>IFERROR($D200*I$238/100, 0)</f>
        <v>1.2835217696026484</v>
      </c>
      <c r="J200" s="154">
        <f t="shared" si="100"/>
        <v>2.5908759386589115</v>
      </c>
      <c r="K200" s="155">
        <f t="shared" ref="K200:P200" si="112">IFERROR($D200*K$238/100, 0)</f>
        <v>1.9870037574533734</v>
      </c>
      <c r="L200" s="156">
        <f t="shared" si="112"/>
        <v>0.55457776292375105</v>
      </c>
      <c r="M200" s="156">
        <f t="shared" si="112"/>
        <v>4.9294418281787183E-2</v>
      </c>
      <c r="N200" s="152">
        <f t="shared" si="112"/>
        <v>0</v>
      </c>
      <c r="O200" s="153">
        <f t="shared" si="112"/>
        <v>0</v>
      </c>
      <c r="P200" s="154">
        <f t="shared" si="112"/>
        <v>0.21351356068525956</v>
      </c>
      <c r="Q200" s="325"/>
      <c r="R200" s="326"/>
    </row>
    <row r="201" spans="2:18" s="4" customFormat="1" x14ac:dyDescent="0.25">
      <c r="B201" s="150" t="s">
        <v>179</v>
      </c>
      <c r="C201" s="204" t="s">
        <v>334</v>
      </c>
      <c r="D201" s="338">
        <f>SUM(D202:D205)</f>
        <v>85.33323</v>
      </c>
      <c r="E201" s="414">
        <f>SUM(E202:E205)</f>
        <v>14.199486486323336</v>
      </c>
      <c r="F201" s="154">
        <f t="shared" si="104"/>
        <v>23.572454928911455</v>
      </c>
      <c r="G201" s="155">
        <f>SUM(G202:G205)</f>
        <v>4.8829688546935275</v>
      </c>
      <c r="H201" s="156">
        <f>SUM(H202:H205)</f>
        <v>2.6326798728115954</v>
      </c>
      <c r="I201" s="157">
        <f>SUM(I202:I205)</f>
        <v>16.056806201406332</v>
      </c>
      <c r="J201" s="154">
        <f t="shared" si="100"/>
        <v>36.65123175389099</v>
      </c>
      <c r="K201" s="155">
        <f t="shared" ref="K201:P201" si="113">SUM(K202:K205)</f>
        <v>23.754573258811696</v>
      </c>
      <c r="L201" s="156">
        <f t="shared" si="113"/>
        <v>10.127591533207219</v>
      </c>
      <c r="M201" s="156">
        <f t="shared" si="113"/>
        <v>2.7690669618720785</v>
      </c>
      <c r="N201" s="152">
        <f t="shared" si="113"/>
        <v>1.8842134350038737</v>
      </c>
      <c r="O201" s="153">
        <f t="shared" si="113"/>
        <v>0</v>
      </c>
      <c r="P201" s="154">
        <f t="shared" si="113"/>
        <v>9.0258433958703446</v>
      </c>
      <c r="Q201" s="325"/>
      <c r="R201" s="326"/>
    </row>
    <row r="202" spans="2:18" s="1" customFormat="1" x14ac:dyDescent="0.25">
      <c r="B202" s="259" t="s">
        <v>509</v>
      </c>
      <c r="C202" s="260" t="s">
        <v>336</v>
      </c>
      <c r="D202" s="335">
        <v>83.47645</v>
      </c>
      <c r="E202" s="415">
        <f>IFERROR($D202*E$237/100, 0)</f>
        <v>13.890517488922494</v>
      </c>
      <c r="F202" s="206">
        <f t="shared" si="104"/>
        <v>23.059537946126387</v>
      </c>
      <c r="G202" s="210">
        <f t="shared" ref="G202:I205" si="114">IFERROR($D202*G$237/100, 0)</f>
        <v>4.776719520055452</v>
      </c>
      <c r="H202" s="211">
        <f t="shared" si="114"/>
        <v>2.5753949518700221</v>
      </c>
      <c r="I202" s="212">
        <f t="shared" si="114"/>
        <v>15.707423474200914</v>
      </c>
      <c r="J202" s="206">
        <f t="shared" si="100"/>
        <v>35.853731482355627</v>
      </c>
      <c r="K202" s="210">
        <f t="shared" ref="K202:P205" si="115">IFERROR($D202*K$237/100, 0)</f>
        <v>23.237693532877305</v>
      </c>
      <c r="L202" s="211">
        <f t="shared" si="115"/>
        <v>9.9072235779917825</v>
      </c>
      <c r="M202" s="211">
        <f t="shared" si="115"/>
        <v>2.7088143714865409</v>
      </c>
      <c r="N202" s="208">
        <f t="shared" si="115"/>
        <v>1.8432145202569867</v>
      </c>
      <c r="O202" s="209">
        <f t="shared" si="115"/>
        <v>0</v>
      </c>
      <c r="P202" s="206">
        <f t="shared" si="115"/>
        <v>8.8294485623385057</v>
      </c>
      <c r="Q202" s="336"/>
      <c r="R202" s="337"/>
    </row>
    <row r="203" spans="2:18" s="1" customFormat="1" x14ac:dyDescent="0.25">
      <c r="B203" s="259" t="s">
        <v>510</v>
      </c>
      <c r="C203" s="260" t="s">
        <v>338</v>
      </c>
      <c r="D203" s="335">
        <v>1.7922199999999999</v>
      </c>
      <c r="E203" s="415">
        <f>IFERROR($D203*E$237/100, 0)</f>
        <v>0.29822618539715895</v>
      </c>
      <c r="F203" s="206">
        <f t="shared" si="104"/>
        <v>0.49508292575698454</v>
      </c>
      <c r="G203" s="210">
        <f t="shared" si="114"/>
        <v>0.10255505904040939</v>
      </c>
      <c r="H203" s="211">
        <f t="shared" si="114"/>
        <v>5.5293131663367225E-2</v>
      </c>
      <c r="I203" s="212">
        <f t="shared" si="114"/>
        <v>0.33723473505320795</v>
      </c>
      <c r="J203" s="206">
        <f t="shared" si="100"/>
        <v>0.76977129043349835</v>
      </c>
      <c r="K203" s="210">
        <f t="shared" si="115"/>
        <v>0.49890788484049531</v>
      </c>
      <c r="L203" s="211">
        <f t="shared" si="115"/>
        <v>0.21270578996769063</v>
      </c>
      <c r="M203" s="211">
        <f t="shared" si="115"/>
        <v>5.8157615625312381E-2</v>
      </c>
      <c r="N203" s="208">
        <f t="shared" si="115"/>
        <v>3.9573387793742747E-2</v>
      </c>
      <c r="O203" s="209">
        <f t="shared" si="115"/>
        <v>0</v>
      </c>
      <c r="P203" s="206">
        <f t="shared" si="115"/>
        <v>0.18956621061861537</v>
      </c>
      <c r="Q203" s="336"/>
      <c r="R203" s="337"/>
    </row>
    <row r="204" spans="2:18" s="1" customFormat="1" x14ac:dyDescent="0.25">
      <c r="B204" s="259" t="s">
        <v>511</v>
      </c>
      <c r="C204" s="260" t="s">
        <v>340</v>
      </c>
      <c r="D204" s="335">
        <v>0</v>
      </c>
      <c r="E204" s="415">
        <f>IFERROR($D204*E$237/100, 0)</f>
        <v>0</v>
      </c>
      <c r="F204" s="206">
        <f t="shared" si="104"/>
        <v>0</v>
      </c>
      <c r="G204" s="210">
        <f t="shared" si="114"/>
        <v>0</v>
      </c>
      <c r="H204" s="211">
        <f t="shared" si="114"/>
        <v>0</v>
      </c>
      <c r="I204" s="212">
        <f t="shared" si="114"/>
        <v>0</v>
      </c>
      <c r="J204" s="206">
        <f t="shared" si="100"/>
        <v>0</v>
      </c>
      <c r="K204" s="210">
        <f t="shared" si="115"/>
        <v>0</v>
      </c>
      <c r="L204" s="211">
        <f t="shared" si="115"/>
        <v>0</v>
      </c>
      <c r="M204" s="211">
        <f t="shared" si="115"/>
        <v>0</v>
      </c>
      <c r="N204" s="208">
        <f t="shared" si="115"/>
        <v>0</v>
      </c>
      <c r="O204" s="209">
        <f t="shared" si="115"/>
        <v>0</v>
      </c>
      <c r="P204" s="206">
        <f t="shared" si="115"/>
        <v>0</v>
      </c>
      <c r="Q204" s="336"/>
      <c r="R204" s="337"/>
    </row>
    <row r="205" spans="2:18" s="1" customFormat="1" ht="15.75" thickBot="1" x14ac:dyDescent="0.3">
      <c r="B205" s="259" t="s">
        <v>512</v>
      </c>
      <c r="C205" s="260" t="s">
        <v>342</v>
      </c>
      <c r="D205" s="335">
        <v>6.4560000000000006E-2</v>
      </c>
      <c r="E205" s="415">
        <f>IFERROR($D205*E$237/100, 0)</f>
        <v>1.0742812003682911E-2</v>
      </c>
      <c r="F205" s="206">
        <f t="shared" si="104"/>
        <v>1.7834057028083009E-2</v>
      </c>
      <c r="G205" s="210">
        <f t="shared" si="114"/>
        <v>3.6942755976659292E-3</v>
      </c>
      <c r="H205" s="211">
        <f t="shared" si="114"/>
        <v>1.9917892782063519E-3</v>
      </c>
      <c r="I205" s="212">
        <f t="shared" si="114"/>
        <v>1.2147992152210726E-2</v>
      </c>
      <c r="J205" s="206">
        <f t="shared" si="100"/>
        <v>2.772898110186621E-2</v>
      </c>
      <c r="K205" s="210">
        <f t="shared" si="115"/>
        <v>1.7971841093896053E-2</v>
      </c>
      <c r="L205" s="211">
        <f t="shared" si="115"/>
        <v>7.6621652477453159E-3</v>
      </c>
      <c r="M205" s="211">
        <f t="shared" si="115"/>
        <v>2.0949747602248426E-3</v>
      </c>
      <c r="N205" s="208">
        <f t="shared" si="115"/>
        <v>1.4255269531441631E-3</v>
      </c>
      <c r="O205" s="209">
        <f t="shared" si="115"/>
        <v>0</v>
      </c>
      <c r="P205" s="206">
        <f t="shared" si="115"/>
        <v>6.8286229132237166E-3</v>
      </c>
      <c r="Q205" s="336"/>
      <c r="R205" s="337"/>
    </row>
    <row r="206" spans="2:18" s="4" customFormat="1" x14ac:dyDescent="0.25">
      <c r="B206" s="150" t="s">
        <v>181</v>
      </c>
      <c r="C206" s="204" t="s">
        <v>344</v>
      </c>
      <c r="D206" s="338">
        <f>SUM(D207:D209)</f>
        <v>0.48555999999999999</v>
      </c>
      <c r="E206" s="414">
        <f>SUM(E207:E209)</f>
        <v>8.0797394617538307E-2</v>
      </c>
      <c r="F206" s="154">
        <f t="shared" si="104"/>
        <v>0.13413111416598489</v>
      </c>
      <c r="G206" s="155">
        <f>SUM(G207:G209)</f>
        <v>2.7784889392854215E-2</v>
      </c>
      <c r="H206" s="156">
        <f>SUM(H207:H209)</f>
        <v>1.4980377972829558E-2</v>
      </c>
      <c r="I206" s="157">
        <f>SUM(I207:I209)</f>
        <v>9.1365846800301118E-2</v>
      </c>
      <c r="J206" s="154">
        <f t="shared" si="100"/>
        <v>0.20855148797741876</v>
      </c>
      <c r="K206" s="155">
        <f t="shared" ref="K206:P206" si="116">SUM(K207:K209)</f>
        <v>0.13516739717398027</v>
      </c>
      <c r="L206" s="156">
        <f t="shared" si="116"/>
        <v>5.7627648043606178E-2</v>
      </c>
      <c r="M206" s="156">
        <f t="shared" si="116"/>
        <v>1.5756442759832321E-2</v>
      </c>
      <c r="N206" s="152">
        <f t="shared" si="116"/>
        <v>1.0721481836565672E-2</v>
      </c>
      <c r="O206" s="153">
        <f t="shared" si="116"/>
        <v>0</v>
      </c>
      <c r="P206" s="154">
        <f t="shared" si="116"/>
        <v>5.135852140249237E-2</v>
      </c>
      <c r="Q206" s="325"/>
      <c r="R206" s="326"/>
    </row>
    <row r="207" spans="2:18" s="1" customFormat="1" x14ac:dyDescent="0.25">
      <c r="B207" s="259" t="s">
        <v>513</v>
      </c>
      <c r="C207" s="260" t="s">
        <v>350</v>
      </c>
      <c r="D207" s="335">
        <v>0.29899999999999999</v>
      </c>
      <c r="E207" s="415">
        <f>IFERROR($D207*E$237/100, 0)</f>
        <v>4.9753729694875924E-2</v>
      </c>
      <c r="F207" s="206">
        <f t="shared" si="104"/>
        <v>8.2595772171574017E-2</v>
      </c>
      <c r="G207" s="210">
        <f t="shared" ref="G207:I209" si="117">IFERROR($D207*G$237/100, 0)</f>
        <v>1.7109485807033961E-2</v>
      </c>
      <c r="H207" s="211">
        <f t="shared" si="117"/>
        <v>9.2246746310981915E-3</v>
      </c>
      <c r="I207" s="212">
        <f t="shared" si="117"/>
        <v>5.6261611733441866E-2</v>
      </c>
      <c r="J207" s="206">
        <f t="shared" si="100"/>
        <v>0.1284226355244423</v>
      </c>
      <c r="K207" s="210">
        <f t="shared" ref="K207:P209" si="118">IFERROR($D207*K$237/100, 0)</f>
        <v>8.3233898498682138E-2</v>
      </c>
      <c r="L207" s="211">
        <f t="shared" si="118"/>
        <v>3.5486174242190971E-2</v>
      </c>
      <c r="M207" s="211">
        <f t="shared" si="118"/>
        <v>9.7025627835692057E-3</v>
      </c>
      <c r="N207" s="208">
        <f t="shared" si="118"/>
        <v>6.6021152259929487E-3</v>
      </c>
      <c r="O207" s="209">
        <f t="shared" si="118"/>
        <v>0</v>
      </c>
      <c r="P207" s="206">
        <f t="shared" si="118"/>
        <v>3.1625747383114793E-2</v>
      </c>
      <c r="Q207" s="336"/>
      <c r="R207" s="337"/>
    </row>
    <row r="208" spans="2:18" s="1" customFormat="1" x14ac:dyDescent="0.25">
      <c r="B208" s="262" t="s">
        <v>514</v>
      </c>
      <c r="C208" s="260" t="s">
        <v>352</v>
      </c>
      <c r="D208" s="342">
        <v>0.18656</v>
      </c>
      <c r="E208" s="415">
        <f>IFERROR($D208*E$237/100, 0)</f>
        <v>3.1043664922662386E-2</v>
      </c>
      <c r="F208" s="206">
        <f t="shared" si="104"/>
        <v>5.1535341994410871E-2</v>
      </c>
      <c r="G208" s="210">
        <f t="shared" si="117"/>
        <v>1.0675403585820255E-2</v>
      </c>
      <c r="H208" s="211">
        <f t="shared" si="117"/>
        <v>5.7557033417313663E-3</v>
      </c>
      <c r="I208" s="212">
        <f t="shared" si="117"/>
        <v>3.5104235066859252E-2</v>
      </c>
      <c r="J208" s="206">
        <f t="shared" si="100"/>
        <v>8.0128852452976448E-2</v>
      </c>
      <c r="K208" s="210">
        <f t="shared" si="118"/>
        <v>5.1933498675298131E-2</v>
      </c>
      <c r="L208" s="211">
        <f t="shared" si="118"/>
        <v>2.214147380141521E-2</v>
      </c>
      <c r="M208" s="211">
        <f t="shared" si="118"/>
        <v>6.0538799762631145E-3</v>
      </c>
      <c r="N208" s="208">
        <f t="shared" si="118"/>
        <v>4.1193666105727236E-3</v>
      </c>
      <c r="O208" s="209">
        <f t="shared" si="118"/>
        <v>0</v>
      </c>
      <c r="P208" s="206">
        <f t="shared" si="118"/>
        <v>1.9732774019377577E-2</v>
      </c>
      <c r="Q208" s="336"/>
      <c r="R208" s="337"/>
    </row>
    <row r="209" spans="2:18" s="1" customFormat="1" ht="15.75" thickBot="1" x14ac:dyDescent="0.3">
      <c r="B209" s="262" t="s">
        <v>515</v>
      </c>
      <c r="C209" s="250" t="s">
        <v>354</v>
      </c>
      <c r="D209" s="335">
        <v>0</v>
      </c>
      <c r="E209" s="415">
        <f>IFERROR($D209*E$237/100, 0)</f>
        <v>0</v>
      </c>
      <c r="F209" s="206">
        <f t="shared" si="104"/>
        <v>0</v>
      </c>
      <c r="G209" s="210">
        <f t="shared" si="117"/>
        <v>0</v>
      </c>
      <c r="H209" s="211">
        <f t="shared" si="117"/>
        <v>0</v>
      </c>
      <c r="I209" s="212">
        <f t="shared" si="117"/>
        <v>0</v>
      </c>
      <c r="J209" s="206">
        <f t="shared" si="100"/>
        <v>0</v>
      </c>
      <c r="K209" s="210">
        <f t="shared" si="118"/>
        <v>0</v>
      </c>
      <c r="L209" s="211">
        <f t="shared" si="118"/>
        <v>0</v>
      </c>
      <c r="M209" s="211">
        <f t="shared" si="118"/>
        <v>0</v>
      </c>
      <c r="N209" s="208">
        <f t="shared" si="118"/>
        <v>0</v>
      </c>
      <c r="O209" s="209">
        <f t="shared" si="118"/>
        <v>0</v>
      </c>
      <c r="P209" s="206">
        <f t="shared" si="118"/>
        <v>0</v>
      </c>
      <c r="Q209" s="336"/>
      <c r="R209" s="337"/>
    </row>
    <row r="210" spans="2:18" s="4" customFormat="1" x14ac:dyDescent="0.25">
      <c r="B210" s="150" t="s">
        <v>183</v>
      </c>
      <c r="C210" s="204" t="s">
        <v>356</v>
      </c>
      <c r="D210" s="338">
        <f>SUM(D211:D212)</f>
        <v>0.41700999999999999</v>
      </c>
      <c r="E210" s="414">
        <f>SUM(E211:E212)</f>
        <v>6.9390644883144517E-2</v>
      </c>
      <c r="F210" s="154">
        <f t="shared" si="104"/>
        <v>0.11519485937547853</v>
      </c>
      <c r="G210" s="155">
        <f>SUM(G211:G212)</f>
        <v>2.3862296576559309E-2</v>
      </c>
      <c r="H210" s="156">
        <f>SUM(H211:H212)</f>
        <v>1.2865490193693166E-2</v>
      </c>
      <c r="I210" s="157">
        <f>SUM(I211:I212)</f>
        <v>7.8467072605226063E-2</v>
      </c>
      <c r="J210" s="154">
        <f t="shared" si="100"/>
        <v>0.17910877337808592</v>
      </c>
      <c r="K210" s="155">
        <f t="shared" ref="K210:P210" si="119">SUM(K211:K212)</f>
        <v>0.11608484285262689</v>
      </c>
      <c r="L210" s="156">
        <f t="shared" si="119"/>
        <v>4.9491938196441668E-2</v>
      </c>
      <c r="M210" s="156">
        <f t="shared" si="119"/>
        <v>1.3531992329017372E-2</v>
      </c>
      <c r="N210" s="152">
        <f t="shared" si="119"/>
        <v>9.2078530782318362E-3</v>
      </c>
      <c r="O210" s="153">
        <f t="shared" si="119"/>
        <v>0</v>
      </c>
      <c r="P210" s="154">
        <f t="shared" si="119"/>
        <v>4.4107869285059199E-2</v>
      </c>
      <c r="Q210" s="325"/>
      <c r="R210" s="326"/>
    </row>
    <row r="211" spans="2:18" s="1" customFormat="1" x14ac:dyDescent="0.25">
      <c r="B211" s="259" t="s">
        <v>516</v>
      </c>
      <c r="C211" s="260" t="s">
        <v>358</v>
      </c>
      <c r="D211" s="335">
        <v>0.41700999999999999</v>
      </c>
      <c r="E211" s="415">
        <f>IFERROR($D211*E$237/100, 0)</f>
        <v>6.9390644883144517E-2</v>
      </c>
      <c r="F211" s="206">
        <f t="shared" si="104"/>
        <v>0.11519485937547853</v>
      </c>
      <c r="G211" s="210">
        <f t="shared" ref="G211:I212" si="120">IFERROR($D211*G$237/100, 0)</f>
        <v>2.3862296576559309E-2</v>
      </c>
      <c r="H211" s="211">
        <f t="shared" si="120"/>
        <v>1.2865490193693166E-2</v>
      </c>
      <c r="I211" s="212">
        <f t="shared" si="120"/>
        <v>7.8467072605226063E-2</v>
      </c>
      <c r="J211" s="206">
        <f t="shared" si="100"/>
        <v>0.17910877337808592</v>
      </c>
      <c r="K211" s="210">
        <f t="shared" ref="K211:P212" si="121">IFERROR($D211*K$237/100, 0)</f>
        <v>0.11608484285262689</v>
      </c>
      <c r="L211" s="211">
        <f t="shared" si="121"/>
        <v>4.9491938196441668E-2</v>
      </c>
      <c r="M211" s="211">
        <f t="shared" si="121"/>
        <v>1.3531992329017372E-2</v>
      </c>
      <c r="N211" s="208">
        <f t="shared" si="121"/>
        <v>9.2078530782318362E-3</v>
      </c>
      <c r="O211" s="209">
        <f t="shared" si="121"/>
        <v>0</v>
      </c>
      <c r="P211" s="206">
        <f t="shared" si="121"/>
        <v>4.4107869285059199E-2</v>
      </c>
      <c r="Q211" s="336"/>
      <c r="R211" s="337"/>
    </row>
    <row r="212" spans="2:18" s="1" customFormat="1" ht="15.75" thickBot="1" x14ac:dyDescent="0.3">
      <c r="B212" s="262" t="s">
        <v>517</v>
      </c>
      <c r="C212" s="250" t="s">
        <v>518</v>
      </c>
      <c r="D212" s="335">
        <v>0</v>
      </c>
      <c r="E212" s="415">
        <f>IFERROR($D212*E$237/100, 0)</f>
        <v>0</v>
      </c>
      <c r="F212" s="206">
        <f t="shared" si="104"/>
        <v>0</v>
      </c>
      <c r="G212" s="210">
        <f t="shared" si="120"/>
        <v>0</v>
      </c>
      <c r="H212" s="211">
        <f t="shared" si="120"/>
        <v>0</v>
      </c>
      <c r="I212" s="212">
        <f t="shared" si="120"/>
        <v>0</v>
      </c>
      <c r="J212" s="206">
        <f t="shared" si="100"/>
        <v>0</v>
      </c>
      <c r="K212" s="210">
        <f t="shared" si="121"/>
        <v>0</v>
      </c>
      <c r="L212" s="211">
        <f t="shared" si="121"/>
        <v>0</v>
      </c>
      <c r="M212" s="211">
        <f t="shared" si="121"/>
        <v>0</v>
      </c>
      <c r="N212" s="208">
        <f t="shared" si="121"/>
        <v>0</v>
      </c>
      <c r="O212" s="209">
        <f t="shared" si="121"/>
        <v>0</v>
      </c>
      <c r="P212" s="206">
        <f t="shared" si="121"/>
        <v>0</v>
      </c>
      <c r="Q212" s="336"/>
      <c r="R212" s="337"/>
    </row>
    <row r="213" spans="2:18" s="4" customFormat="1" x14ac:dyDescent="0.25">
      <c r="B213" s="150" t="s">
        <v>185</v>
      </c>
      <c r="C213" s="204" t="s">
        <v>362</v>
      </c>
      <c r="D213" s="338">
        <f>SUM(D214:D228)</f>
        <v>15.575299999999999</v>
      </c>
      <c r="E213" s="414">
        <f>SUM(E214:E228)</f>
        <v>2.591736675975254</v>
      </c>
      <c r="F213" s="154">
        <f t="shared" si="104"/>
        <v>4.302521506033167</v>
      </c>
      <c r="G213" s="155">
        <f>SUM(G214:G228)</f>
        <v>0.89125543240901706</v>
      </c>
      <c r="H213" s="156">
        <f>SUM(H214:H228)</f>
        <v>0.48052533371820622</v>
      </c>
      <c r="I213" s="157">
        <f>SUM(I214:I228)</f>
        <v>2.9307407399059437</v>
      </c>
      <c r="J213" s="154">
        <f t="shared" si="100"/>
        <v>6.6897025922536679</v>
      </c>
      <c r="K213" s="155">
        <f t="shared" ref="K213:P213" si="122">SUM(K214:K228)</f>
        <v>4.335762338750917</v>
      </c>
      <c r="L213" s="156">
        <f t="shared" si="122"/>
        <v>1.8485211025899568</v>
      </c>
      <c r="M213" s="156">
        <f t="shared" si="122"/>
        <v>0.50541915091279421</v>
      </c>
      <c r="N213" s="152">
        <f t="shared" si="122"/>
        <v>0.34391279357661531</v>
      </c>
      <c r="O213" s="153">
        <f t="shared" si="122"/>
        <v>0</v>
      </c>
      <c r="P213" s="154">
        <f t="shared" si="122"/>
        <v>1.6474264321612972</v>
      </c>
      <c r="Q213" s="325"/>
      <c r="R213" s="326"/>
    </row>
    <row r="214" spans="2:18" s="1" customFormat="1" x14ac:dyDescent="0.25">
      <c r="B214" s="259" t="s">
        <v>519</v>
      </c>
      <c r="C214" s="260" t="s">
        <v>364</v>
      </c>
      <c r="D214" s="335">
        <v>0</v>
      </c>
      <c r="E214" s="415">
        <f t="shared" ref="E214:E229" si="123">IFERROR($D214*E$237/100, 0)</f>
        <v>0</v>
      </c>
      <c r="F214" s="206">
        <f t="shared" si="104"/>
        <v>0</v>
      </c>
      <c r="G214" s="210">
        <f t="shared" ref="G214:I229" si="124">IFERROR($D214*G$237/100, 0)</f>
        <v>0</v>
      </c>
      <c r="H214" s="211">
        <f t="shared" si="124"/>
        <v>0</v>
      </c>
      <c r="I214" s="212">
        <f t="shared" si="124"/>
        <v>0</v>
      </c>
      <c r="J214" s="206">
        <f t="shared" si="100"/>
        <v>0</v>
      </c>
      <c r="K214" s="210">
        <f t="shared" ref="K214:P223" si="125">IFERROR($D214*K$237/100, 0)</f>
        <v>0</v>
      </c>
      <c r="L214" s="211">
        <f t="shared" si="125"/>
        <v>0</v>
      </c>
      <c r="M214" s="211">
        <f t="shared" si="125"/>
        <v>0</v>
      </c>
      <c r="N214" s="208">
        <f t="shared" si="125"/>
        <v>0</v>
      </c>
      <c r="O214" s="209">
        <f t="shared" si="125"/>
        <v>0</v>
      </c>
      <c r="P214" s="206">
        <f t="shared" si="125"/>
        <v>0</v>
      </c>
      <c r="Q214" s="336"/>
      <c r="R214" s="337"/>
    </row>
    <row r="215" spans="2:18" s="1" customFormat="1" x14ac:dyDescent="0.25">
      <c r="B215" s="259" t="s">
        <v>520</v>
      </c>
      <c r="C215" s="260" t="s">
        <v>366</v>
      </c>
      <c r="D215" s="335">
        <v>5.0999999999999997E-2</v>
      </c>
      <c r="E215" s="415">
        <f t="shared" si="123"/>
        <v>8.4864221218684689E-3</v>
      </c>
      <c r="F215" s="206">
        <f t="shared" si="104"/>
        <v>1.4088242076087876E-2</v>
      </c>
      <c r="G215" s="210">
        <f t="shared" si="124"/>
        <v>2.9183403884907428E-3</v>
      </c>
      <c r="H215" s="211">
        <f t="shared" si="124"/>
        <v>1.5734394855719321E-3</v>
      </c>
      <c r="I215" s="212">
        <f t="shared" si="124"/>
        <v>9.5964622020252004E-3</v>
      </c>
      <c r="J215" s="206">
        <f t="shared" si="100"/>
        <v>2.1904864253332969E-2</v>
      </c>
      <c r="K215" s="210">
        <f t="shared" si="125"/>
        <v>1.419708636599595E-2</v>
      </c>
      <c r="L215" s="211">
        <f t="shared" si="125"/>
        <v>6.0528257068620051E-3</v>
      </c>
      <c r="M215" s="211">
        <f t="shared" si="125"/>
        <v>1.654952180475015E-3</v>
      </c>
      <c r="N215" s="208">
        <f t="shared" si="125"/>
        <v>1.1261132994168572E-3</v>
      </c>
      <c r="O215" s="209">
        <f t="shared" si="125"/>
        <v>0</v>
      </c>
      <c r="P215" s="206">
        <f t="shared" si="125"/>
        <v>5.394358249293827E-3</v>
      </c>
      <c r="Q215" s="336"/>
      <c r="R215" s="337"/>
    </row>
    <row r="216" spans="2:18" s="1" customFormat="1" x14ac:dyDescent="0.25">
      <c r="B216" s="259" t="s">
        <v>521</v>
      </c>
      <c r="C216" s="260" t="s">
        <v>368</v>
      </c>
      <c r="D216" s="335">
        <v>0</v>
      </c>
      <c r="E216" s="415">
        <f t="shared" si="123"/>
        <v>0</v>
      </c>
      <c r="F216" s="206">
        <f t="shared" si="104"/>
        <v>0</v>
      </c>
      <c r="G216" s="210">
        <f t="shared" si="124"/>
        <v>0</v>
      </c>
      <c r="H216" s="211">
        <f t="shared" si="124"/>
        <v>0</v>
      </c>
      <c r="I216" s="212">
        <f t="shared" si="124"/>
        <v>0</v>
      </c>
      <c r="J216" s="206">
        <f t="shared" si="100"/>
        <v>0</v>
      </c>
      <c r="K216" s="210">
        <f t="shared" si="125"/>
        <v>0</v>
      </c>
      <c r="L216" s="211">
        <f t="shared" si="125"/>
        <v>0</v>
      </c>
      <c r="M216" s="211">
        <f t="shared" si="125"/>
        <v>0</v>
      </c>
      <c r="N216" s="208">
        <f t="shared" si="125"/>
        <v>0</v>
      </c>
      <c r="O216" s="209">
        <f t="shared" si="125"/>
        <v>0</v>
      </c>
      <c r="P216" s="206">
        <f t="shared" si="125"/>
        <v>0</v>
      </c>
      <c r="Q216" s="336"/>
      <c r="R216" s="337"/>
    </row>
    <row r="217" spans="2:18" s="1" customFormat="1" x14ac:dyDescent="0.25">
      <c r="B217" s="259" t="s">
        <v>522</v>
      </c>
      <c r="C217" s="260" t="s">
        <v>370</v>
      </c>
      <c r="D217" s="335">
        <v>1.1960500000000001</v>
      </c>
      <c r="E217" s="415">
        <f t="shared" si="123"/>
        <v>0.19902323880119183</v>
      </c>
      <c r="F217" s="206">
        <f t="shared" si="104"/>
        <v>0.3303969006883315</v>
      </c>
      <c r="G217" s="210">
        <f t="shared" si="124"/>
        <v>6.8440804346163786E-2</v>
      </c>
      <c r="H217" s="211">
        <f t="shared" si="124"/>
        <v>3.690024111212372E-2</v>
      </c>
      <c r="I217" s="212">
        <f t="shared" si="124"/>
        <v>0.22505585523004398</v>
      </c>
      <c r="J217" s="206">
        <f t="shared" si="100"/>
        <v>0.51371201745488038</v>
      </c>
      <c r="K217" s="210">
        <f t="shared" si="125"/>
        <v>0.33294951270685208</v>
      </c>
      <c r="L217" s="211">
        <f t="shared" si="125"/>
        <v>0.14195063111161377</v>
      </c>
      <c r="M217" s="211">
        <f t="shared" si="125"/>
        <v>3.881187363641455E-2</v>
      </c>
      <c r="N217" s="208">
        <f t="shared" si="125"/>
        <v>2.6409564936618279E-2</v>
      </c>
      <c r="O217" s="209">
        <f t="shared" si="125"/>
        <v>0</v>
      </c>
      <c r="P217" s="206">
        <f t="shared" si="125"/>
        <v>0.12650827811897808</v>
      </c>
      <c r="Q217" s="336"/>
      <c r="R217" s="337"/>
    </row>
    <row r="218" spans="2:18" s="1" customFormat="1" x14ac:dyDescent="0.25">
      <c r="B218" s="259" t="s">
        <v>523</v>
      </c>
      <c r="C218" s="260" t="s">
        <v>372</v>
      </c>
      <c r="D218" s="335">
        <v>0</v>
      </c>
      <c r="E218" s="415">
        <f t="shared" si="123"/>
        <v>0</v>
      </c>
      <c r="F218" s="206">
        <f t="shared" si="104"/>
        <v>0</v>
      </c>
      <c r="G218" s="210">
        <f t="shared" si="124"/>
        <v>0</v>
      </c>
      <c r="H218" s="211">
        <f t="shared" si="124"/>
        <v>0</v>
      </c>
      <c r="I218" s="212">
        <f t="shared" si="124"/>
        <v>0</v>
      </c>
      <c r="J218" s="206">
        <f t="shared" si="100"/>
        <v>0</v>
      </c>
      <c r="K218" s="210">
        <f t="shared" si="125"/>
        <v>0</v>
      </c>
      <c r="L218" s="211">
        <f t="shared" si="125"/>
        <v>0</v>
      </c>
      <c r="M218" s="211">
        <f t="shared" si="125"/>
        <v>0</v>
      </c>
      <c r="N218" s="208">
        <f t="shared" si="125"/>
        <v>0</v>
      </c>
      <c r="O218" s="209">
        <f t="shared" si="125"/>
        <v>0</v>
      </c>
      <c r="P218" s="206">
        <f t="shared" si="125"/>
        <v>0</v>
      </c>
      <c r="Q218" s="336"/>
      <c r="R218" s="337"/>
    </row>
    <row r="219" spans="2:18" s="1" customFormat="1" x14ac:dyDescent="0.25">
      <c r="B219" s="259" t="s">
        <v>524</v>
      </c>
      <c r="C219" s="260" t="s">
        <v>374</v>
      </c>
      <c r="D219" s="335">
        <v>0.69557999999999998</v>
      </c>
      <c r="E219" s="415">
        <f t="shared" si="123"/>
        <v>0.11574481371626019</v>
      </c>
      <c r="F219" s="206">
        <f t="shared" si="104"/>
        <v>0.19214704751539619</v>
      </c>
      <c r="G219" s="210">
        <f t="shared" si="124"/>
        <v>3.9802729557380213E-2</v>
      </c>
      <c r="H219" s="211">
        <f t="shared" si="124"/>
        <v>2.1459863477924012E-2</v>
      </c>
      <c r="I219" s="212">
        <f t="shared" si="124"/>
        <v>0.13088445448009195</v>
      </c>
      <c r="J219" s="206">
        <f t="shared" si="100"/>
        <v>0.2987565779869284</v>
      </c>
      <c r="K219" s="210">
        <f t="shared" si="125"/>
        <v>0.1936315555776365</v>
      </c>
      <c r="L219" s="211">
        <f t="shared" si="125"/>
        <v>8.2553421670177929E-2</v>
      </c>
      <c r="M219" s="211">
        <f t="shared" si="125"/>
        <v>2.2571600739113941E-2</v>
      </c>
      <c r="N219" s="208">
        <f t="shared" si="125"/>
        <v>1.5358860564870149E-2</v>
      </c>
      <c r="O219" s="209">
        <f t="shared" si="125"/>
        <v>0</v>
      </c>
      <c r="P219" s="206">
        <f t="shared" si="125"/>
        <v>7.3572700216545106E-2</v>
      </c>
      <c r="Q219" s="336"/>
      <c r="R219" s="337"/>
    </row>
    <row r="220" spans="2:18" s="1" customFormat="1" x14ac:dyDescent="0.25">
      <c r="B220" s="259" t="s">
        <v>525</v>
      </c>
      <c r="C220" s="260" t="s">
        <v>376</v>
      </c>
      <c r="D220" s="335">
        <v>2.0550000000000002</v>
      </c>
      <c r="E220" s="415">
        <f t="shared" si="123"/>
        <v>0.34195289138117069</v>
      </c>
      <c r="F220" s="206">
        <f t="shared" si="104"/>
        <v>0.56767328365412917</v>
      </c>
      <c r="G220" s="210">
        <f t="shared" si="124"/>
        <v>0.11759195094800935</v>
      </c>
      <c r="H220" s="211">
        <f t="shared" si="124"/>
        <v>6.3400355742163156E-2</v>
      </c>
      <c r="I220" s="212">
        <f t="shared" si="124"/>
        <v>0.3866809769639567</v>
      </c>
      <c r="J220" s="206">
        <f t="shared" si="100"/>
        <v>0.88263717726665214</v>
      </c>
      <c r="K220" s="210">
        <f t="shared" si="125"/>
        <v>0.57205906827689568</v>
      </c>
      <c r="L220" s="211">
        <f t="shared" si="125"/>
        <v>0.24389327112943968</v>
      </c>
      <c r="M220" s="211">
        <f t="shared" si="125"/>
        <v>6.6684837860316787E-2</v>
      </c>
      <c r="N220" s="208">
        <f t="shared" si="125"/>
        <v>4.5375741770620433E-2</v>
      </c>
      <c r="O220" s="209">
        <f t="shared" si="125"/>
        <v>0</v>
      </c>
      <c r="P220" s="206">
        <f t="shared" si="125"/>
        <v>0.21736090592742777</v>
      </c>
      <c r="Q220" s="336"/>
      <c r="R220" s="337"/>
    </row>
    <row r="221" spans="2:18" s="1" customFormat="1" x14ac:dyDescent="0.25">
      <c r="B221" s="259" t="s">
        <v>526</v>
      </c>
      <c r="C221" s="260" t="s">
        <v>378</v>
      </c>
      <c r="D221" s="335">
        <v>0</v>
      </c>
      <c r="E221" s="415">
        <f t="shared" si="123"/>
        <v>0</v>
      </c>
      <c r="F221" s="206">
        <f t="shared" si="104"/>
        <v>0</v>
      </c>
      <c r="G221" s="210">
        <f t="shared" si="124"/>
        <v>0</v>
      </c>
      <c r="H221" s="211">
        <f t="shared" si="124"/>
        <v>0</v>
      </c>
      <c r="I221" s="212">
        <f t="shared" si="124"/>
        <v>0</v>
      </c>
      <c r="J221" s="206">
        <f t="shared" si="100"/>
        <v>0</v>
      </c>
      <c r="K221" s="210">
        <f t="shared" si="125"/>
        <v>0</v>
      </c>
      <c r="L221" s="211">
        <f t="shared" si="125"/>
        <v>0</v>
      </c>
      <c r="M221" s="211">
        <f t="shared" si="125"/>
        <v>0</v>
      </c>
      <c r="N221" s="208">
        <f t="shared" si="125"/>
        <v>0</v>
      </c>
      <c r="O221" s="209">
        <f t="shared" si="125"/>
        <v>0</v>
      </c>
      <c r="P221" s="206">
        <f t="shared" si="125"/>
        <v>0</v>
      </c>
      <c r="Q221" s="336"/>
      <c r="R221" s="337"/>
    </row>
    <row r="222" spans="2:18" s="1" customFormat="1" x14ac:dyDescent="0.25">
      <c r="B222" s="259" t="s">
        <v>527</v>
      </c>
      <c r="C222" s="260" t="s">
        <v>380</v>
      </c>
      <c r="D222" s="335">
        <v>0</v>
      </c>
      <c r="E222" s="415">
        <f t="shared" si="123"/>
        <v>0</v>
      </c>
      <c r="F222" s="206">
        <f t="shared" si="104"/>
        <v>0</v>
      </c>
      <c r="G222" s="210">
        <f t="shared" si="124"/>
        <v>0</v>
      </c>
      <c r="H222" s="211">
        <f t="shared" si="124"/>
        <v>0</v>
      </c>
      <c r="I222" s="212">
        <f t="shared" si="124"/>
        <v>0</v>
      </c>
      <c r="J222" s="206">
        <f t="shared" si="100"/>
        <v>0</v>
      </c>
      <c r="K222" s="210">
        <f t="shared" si="125"/>
        <v>0</v>
      </c>
      <c r="L222" s="211">
        <f t="shared" si="125"/>
        <v>0</v>
      </c>
      <c r="M222" s="211">
        <f t="shared" si="125"/>
        <v>0</v>
      </c>
      <c r="N222" s="208">
        <f t="shared" si="125"/>
        <v>0</v>
      </c>
      <c r="O222" s="209">
        <f t="shared" si="125"/>
        <v>0</v>
      </c>
      <c r="P222" s="206">
        <f t="shared" si="125"/>
        <v>0</v>
      </c>
      <c r="Q222" s="336"/>
      <c r="R222" s="337"/>
    </row>
    <row r="223" spans="2:18" s="1" customFormat="1" x14ac:dyDescent="0.25">
      <c r="B223" s="259" t="s">
        <v>528</v>
      </c>
      <c r="C223" s="260" t="s">
        <v>382</v>
      </c>
      <c r="D223" s="335">
        <v>2.0659999999999998</v>
      </c>
      <c r="E223" s="415">
        <f t="shared" si="123"/>
        <v>0.34378329615255404</v>
      </c>
      <c r="F223" s="206">
        <f t="shared" si="104"/>
        <v>0.57071192410191274</v>
      </c>
      <c r="G223" s="210">
        <f t="shared" si="124"/>
        <v>0.1182213969141544</v>
      </c>
      <c r="H223" s="211">
        <f t="shared" si="124"/>
        <v>6.3739725042972775E-2</v>
      </c>
      <c r="I223" s="212">
        <f t="shared" si="124"/>
        <v>0.38875080214478558</v>
      </c>
      <c r="J223" s="206">
        <f t="shared" si="100"/>
        <v>0.88736175583109644</v>
      </c>
      <c r="K223" s="210">
        <f t="shared" si="125"/>
        <v>0.57512118494407116</v>
      </c>
      <c r="L223" s="211">
        <f t="shared" si="125"/>
        <v>0.24519878255640987</v>
      </c>
      <c r="M223" s="211">
        <f t="shared" si="125"/>
        <v>6.7041788330615318E-2</v>
      </c>
      <c r="N223" s="208">
        <f t="shared" si="125"/>
        <v>4.5618628952847587E-2</v>
      </c>
      <c r="O223" s="209">
        <f t="shared" si="125"/>
        <v>0</v>
      </c>
      <c r="P223" s="206">
        <f t="shared" si="125"/>
        <v>0.21852439496158915</v>
      </c>
      <c r="Q223" s="336"/>
      <c r="R223" s="337"/>
    </row>
    <row r="224" spans="2:18" s="1" customFormat="1" x14ac:dyDescent="0.25">
      <c r="B224" s="259" t="s">
        <v>529</v>
      </c>
      <c r="C224" s="260" t="s">
        <v>384</v>
      </c>
      <c r="D224" s="335">
        <v>2.7379099999999998</v>
      </c>
      <c r="E224" s="415">
        <f t="shared" si="123"/>
        <v>0.45558941160166472</v>
      </c>
      <c r="F224" s="206">
        <f t="shared" si="104"/>
        <v>0.75632036985375994</v>
      </c>
      <c r="G224" s="210">
        <f t="shared" si="124"/>
        <v>0.15666967319711156</v>
      </c>
      <c r="H224" s="211">
        <f t="shared" si="124"/>
        <v>8.4469327489063703E-2</v>
      </c>
      <c r="I224" s="212">
        <f t="shared" si="124"/>
        <v>0.51518136916758472</v>
      </c>
      <c r="J224" s="206">
        <f t="shared" si="100"/>
        <v>1.1759518997616247</v>
      </c>
      <c r="K224" s="210">
        <f t="shared" ref="K224:P229" si="126">IFERROR($D224*K$237/100, 0)</f>
        <v>0.76216362220243083</v>
      </c>
      <c r="L224" s="211">
        <f t="shared" si="126"/>
        <v>0.32494298100146179</v>
      </c>
      <c r="M224" s="211">
        <f t="shared" si="126"/>
        <v>8.8845296557732323E-2</v>
      </c>
      <c r="N224" s="208">
        <f t="shared" si="126"/>
        <v>6.0454840462870738E-2</v>
      </c>
      <c r="O224" s="209">
        <f t="shared" si="126"/>
        <v>0</v>
      </c>
      <c r="P224" s="206">
        <f t="shared" si="126"/>
        <v>0.2895934783200797</v>
      </c>
      <c r="Q224" s="336"/>
      <c r="R224" s="337"/>
    </row>
    <row r="225" spans="2:18" s="1" customFormat="1" x14ac:dyDescent="0.25">
      <c r="B225" s="259" t="s">
        <v>530</v>
      </c>
      <c r="C225" s="260" t="s">
        <v>386</v>
      </c>
      <c r="D225" s="335">
        <v>4.0961800000000004</v>
      </c>
      <c r="E225" s="415">
        <f t="shared" si="123"/>
        <v>0.68160612876774873</v>
      </c>
      <c r="F225" s="206">
        <f t="shared" si="104"/>
        <v>1.1315289299456792</v>
      </c>
      <c r="G225" s="210">
        <f t="shared" si="124"/>
        <v>0.23439308887309829</v>
      </c>
      <c r="H225" s="211">
        <f t="shared" si="124"/>
        <v>0.12637434023549093</v>
      </c>
      <c r="I225" s="212">
        <f t="shared" si="124"/>
        <v>0.77076150083709005</v>
      </c>
      <c r="J225" s="206">
        <f t="shared" si="100"/>
        <v>1.7593385658277931</v>
      </c>
      <c r="K225" s="210">
        <f t="shared" si="126"/>
        <v>1.140271004522849</v>
      </c>
      <c r="L225" s="211">
        <f t="shared" si="126"/>
        <v>0.48614634517517674</v>
      </c>
      <c r="M225" s="211">
        <f t="shared" si="126"/>
        <v>0.13292121612976759</v>
      </c>
      <c r="N225" s="208">
        <f t="shared" si="126"/>
        <v>9.0446328917751839E-2</v>
      </c>
      <c r="O225" s="209">
        <f t="shared" si="126"/>
        <v>0</v>
      </c>
      <c r="P225" s="206">
        <f t="shared" si="126"/>
        <v>0.43326004654102734</v>
      </c>
      <c r="Q225" s="336"/>
      <c r="R225" s="337"/>
    </row>
    <row r="226" spans="2:18" s="1" customFormat="1" x14ac:dyDescent="0.25">
      <c r="B226" s="259" t="s">
        <v>531</v>
      </c>
      <c r="C226" s="260" t="s">
        <v>388</v>
      </c>
      <c r="D226" s="335">
        <v>0.1648</v>
      </c>
      <c r="E226" s="415">
        <f t="shared" si="123"/>
        <v>2.7422791483998506E-2</v>
      </c>
      <c r="F226" s="206">
        <f t="shared" si="104"/>
        <v>4.5524358708613377E-2</v>
      </c>
      <c r="G226" s="210">
        <f t="shared" si="124"/>
        <v>9.4302450200642058E-3</v>
      </c>
      <c r="H226" s="211">
        <f t="shared" si="124"/>
        <v>5.0843691612206757E-3</v>
      </c>
      <c r="I226" s="212">
        <f t="shared" si="124"/>
        <v>3.1009744527328499E-2</v>
      </c>
      <c r="J226" s="206">
        <f t="shared" si="100"/>
        <v>7.0782777038221056E-2</v>
      </c>
      <c r="K226" s="210">
        <f t="shared" si="126"/>
        <v>4.5876075159139856E-2</v>
      </c>
      <c r="L226" s="211">
        <f t="shared" si="126"/>
        <v>1.9558934833154087E-2</v>
      </c>
      <c r="M226" s="211">
        <f t="shared" si="126"/>
        <v>5.3477670459271074E-3</v>
      </c>
      <c r="N226" s="208">
        <f t="shared" si="126"/>
        <v>3.6388916028215314E-3</v>
      </c>
      <c r="O226" s="209">
        <f t="shared" si="126"/>
        <v>0</v>
      </c>
      <c r="P226" s="206">
        <f t="shared" si="126"/>
        <v>1.7431181166345545E-2</v>
      </c>
      <c r="Q226" s="336"/>
      <c r="R226" s="337"/>
    </row>
    <row r="227" spans="2:18" s="1" customFormat="1" x14ac:dyDescent="0.25">
      <c r="B227" s="262" t="s">
        <v>532</v>
      </c>
      <c r="C227" s="250" t="s">
        <v>533</v>
      </c>
      <c r="D227" s="335">
        <v>0</v>
      </c>
      <c r="E227" s="415">
        <f t="shared" si="123"/>
        <v>0</v>
      </c>
      <c r="F227" s="206">
        <f t="shared" si="104"/>
        <v>0</v>
      </c>
      <c r="G227" s="210">
        <f t="shared" si="124"/>
        <v>0</v>
      </c>
      <c r="H227" s="211">
        <f t="shared" si="124"/>
        <v>0</v>
      </c>
      <c r="I227" s="212">
        <f t="shared" si="124"/>
        <v>0</v>
      </c>
      <c r="J227" s="206">
        <f t="shared" si="100"/>
        <v>0</v>
      </c>
      <c r="K227" s="210">
        <f t="shared" si="126"/>
        <v>0</v>
      </c>
      <c r="L227" s="211">
        <f t="shared" si="126"/>
        <v>0</v>
      </c>
      <c r="M227" s="211">
        <f t="shared" si="126"/>
        <v>0</v>
      </c>
      <c r="N227" s="208">
        <f t="shared" si="126"/>
        <v>0</v>
      </c>
      <c r="O227" s="209">
        <f t="shared" si="126"/>
        <v>0</v>
      </c>
      <c r="P227" s="206">
        <f t="shared" si="126"/>
        <v>0</v>
      </c>
      <c r="Q227" s="336"/>
      <c r="R227" s="337"/>
    </row>
    <row r="228" spans="2:18" s="1" customFormat="1" ht="15.75" thickBot="1" x14ac:dyDescent="0.3">
      <c r="B228" s="282" t="s">
        <v>534</v>
      </c>
      <c r="C228" s="283" t="s">
        <v>390</v>
      </c>
      <c r="D228" s="335">
        <v>2.5127800000000002</v>
      </c>
      <c r="E228" s="415">
        <f t="shared" si="123"/>
        <v>0.41812768194879718</v>
      </c>
      <c r="F228" s="206">
        <f t="shared" si="104"/>
        <v>0.69413044948925684</v>
      </c>
      <c r="G228" s="210">
        <f t="shared" si="124"/>
        <v>0.14378720316454449</v>
      </c>
      <c r="H228" s="211">
        <f t="shared" si="124"/>
        <v>7.7523671971675312E-2</v>
      </c>
      <c r="I228" s="212">
        <f t="shared" si="124"/>
        <v>0.47281957435303701</v>
      </c>
      <c r="J228" s="206">
        <f t="shared" si="100"/>
        <v>1.0792569568331378</v>
      </c>
      <c r="K228" s="210">
        <f t="shared" si="126"/>
        <v>0.69949322899504518</v>
      </c>
      <c r="L228" s="211">
        <f t="shared" si="126"/>
        <v>0.29822390940566101</v>
      </c>
      <c r="M228" s="211">
        <f t="shared" si="126"/>
        <v>8.1539818432431549E-2</v>
      </c>
      <c r="N228" s="208">
        <f t="shared" si="126"/>
        <v>5.5483823068797865E-2</v>
      </c>
      <c r="O228" s="209">
        <f t="shared" si="126"/>
        <v>0</v>
      </c>
      <c r="P228" s="206">
        <f t="shared" si="126"/>
        <v>0.26578108866001071</v>
      </c>
      <c r="Q228" s="336"/>
      <c r="R228" s="337"/>
    </row>
    <row r="229" spans="2:18" s="4" customFormat="1" ht="15.75" thickBot="1" x14ac:dyDescent="0.3">
      <c r="B229" s="150" t="s">
        <v>187</v>
      </c>
      <c r="C229" s="204" t="s">
        <v>392</v>
      </c>
      <c r="D229" s="421">
        <v>17.75976</v>
      </c>
      <c r="E229" s="414">
        <f t="shared" si="123"/>
        <v>2.95523176751127</v>
      </c>
      <c r="F229" s="154">
        <f t="shared" si="104"/>
        <v>4.9059568253573023</v>
      </c>
      <c r="G229" s="155">
        <f t="shared" si="124"/>
        <v>1.0162553901549483</v>
      </c>
      <c r="H229" s="156">
        <f t="shared" si="124"/>
        <v>0.54791975761335254</v>
      </c>
      <c r="I229" s="157">
        <f t="shared" si="124"/>
        <v>3.3417816775890019</v>
      </c>
      <c r="J229" s="154">
        <f t="shared" si="100"/>
        <v>7.6279437641524073</v>
      </c>
      <c r="K229" s="155">
        <f t="shared" si="126"/>
        <v>4.9438597364580437</v>
      </c>
      <c r="L229" s="156">
        <f t="shared" si="126"/>
        <v>2.1077790563862662</v>
      </c>
      <c r="M229" s="156">
        <f t="shared" si="126"/>
        <v>0.5763049713080971</v>
      </c>
      <c r="N229" s="152">
        <f t="shared" si="126"/>
        <v>0.39214709667552017</v>
      </c>
      <c r="O229" s="422">
        <f t="shared" si="126"/>
        <v>0</v>
      </c>
      <c r="P229" s="154">
        <f t="shared" si="126"/>
        <v>1.878480546303501</v>
      </c>
      <c r="Q229" s="325"/>
      <c r="R229" s="326"/>
    </row>
    <row r="230" spans="2:18" s="4" customFormat="1" x14ac:dyDescent="0.25">
      <c r="B230" s="150" t="s">
        <v>189</v>
      </c>
      <c r="C230" s="204" t="s">
        <v>394</v>
      </c>
      <c r="D230" s="338">
        <f>SUM(D231:D235)</f>
        <v>4.8666400000000003</v>
      </c>
      <c r="E230" s="414">
        <f>SUM(E231:E235)</f>
        <v>0.80981100696411701</v>
      </c>
      <c r="F230" s="154">
        <f t="shared" si="104"/>
        <v>1.344360831709261</v>
      </c>
      <c r="G230" s="155">
        <f>SUM(G231:G235)</f>
        <v>0.27848062878910956</v>
      </c>
      <c r="H230" s="156">
        <f>SUM(H231:H235)</f>
        <v>0.15014438309928999</v>
      </c>
      <c r="I230" s="157">
        <f>SUM(I231:I235)</f>
        <v>0.91573581982086139</v>
      </c>
      <c r="J230" s="154">
        <f t="shared" si="100"/>
        <v>2.0902566386243211</v>
      </c>
      <c r="K230" s="155">
        <f t="shared" ref="K230:P230" si="127">SUM(K231:K235)</f>
        <v>1.3547472233766771</v>
      </c>
      <c r="L230" s="156">
        <f t="shared" si="127"/>
        <v>0.57758673917731196</v>
      </c>
      <c r="M230" s="156">
        <f t="shared" si="127"/>
        <v>0.15792267607033192</v>
      </c>
      <c r="N230" s="152">
        <f t="shared" si="127"/>
        <v>0.10745858877400107</v>
      </c>
      <c r="O230" s="153">
        <f t="shared" si="127"/>
        <v>0</v>
      </c>
      <c r="P230" s="154">
        <f t="shared" si="127"/>
        <v>0.51475293392830024</v>
      </c>
      <c r="Q230" s="325"/>
      <c r="R230" s="326"/>
    </row>
    <row r="231" spans="2:18" s="1" customFormat="1" x14ac:dyDescent="0.25">
      <c r="B231" s="167" t="s">
        <v>535</v>
      </c>
      <c r="C231" s="357" t="s">
        <v>396</v>
      </c>
      <c r="D231" s="335">
        <v>0</v>
      </c>
      <c r="E231" s="415">
        <f>IFERROR($D231*E$237/100, 0)</f>
        <v>0</v>
      </c>
      <c r="F231" s="206">
        <f t="shared" si="104"/>
        <v>0</v>
      </c>
      <c r="G231" s="210">
        <f t="shared" ref="G231:I235" si="128">IFERROR($D231*G$237/100, 0)</f>
        <v>0</v>
      </c>
      <c r="H231" s="211">
        <f t="shared" si="128"/>
        <v>0</v>
      </c>
      <c r="I231" s="212">
        <f t="shared" si="128"/>
        <v>0</v>
      </c>
      <c r="J231" s="206">
        <f t="shared" si="100"/>
        <v>0</v>
      </c>
      <c r="K231" s="210">
        <f t="shared" ref="K231:P235" si="129">IFERROR($D231*K$237/100, 0)</f>
        <v>0</v>
      </c>
      <c r="L231" s="211">
        <f t="shared" si="129"/>
        <v>0</v>
      </c>
      <c r="M231" s="211">
        <f t="shared" si="129"/>
        <v>0</v>
      </c>
      <c r="N231" s="208">
        <f t="shared" si="129"/>
        <v>0</v>
      </c>
      <c r="O231" s="209">
        <f t="shared" si="129"/>
        <v>0</v>
      </c>
      <c r="P231" s="206">
        <f t="shared" si="129"/>
        <v>0</v>
      </c>
      <c r="Q231" s="336"/>
      <c r="R231" s="337"/>
    </row>
    <row r="232" spans="2:18" s="1" customFormat="1" x14ac:dyDescent="0.25">
      <c r="B232" s="167" t="s">
        <v>536</v>
      </c>
      <c r="C232" s="357" t="s">
        <v>450</v>
      </c>
      <c r="D232" s="335">
        <v>1.3425100000000001</v>
      </c>
      <c r="E232" s="415">
        <f>IFERROR($D232*E$237/100, 0)</f>
        <v>0.22339424632999294</v>
      </c>
      <c r="F232" s="206">
        <f t="shared" si="104"/>
        <v>0.37085501705036739</v>
      </c>
      <c r="G232" s="210">
        <f t="shared" si="128"/>
        <v>7.6821591273582499E-2</v>
      </c>
      <c r="H232" s="211">
        <f t="shared" si="128"/>
        <v>4.1418789093630878E-2</v>
      </c>
      <c r="I232" s="212">
        <f t="shared" si="128"/>
        <v>0.25261463668315398</v>
      </c>
      <c r="J232" s="206">
        <f t="shared" si="100"/>
        <v>0.57661763350474604</v>
      </c>
      <c r="K232" s="210">
        <f t="shared" si="129"/>
        <v>0.37372020425908281</v>
      </c>
      <c r="L232" s="211">
        <f t="shared" si="129"/>
        <v>0.15933292234743748</v>
      </c>
      <c r="M232" s="211">
        <f t="shared" si="129"/>
        <v>4.356450689822574E-2</v>
      </c>
      <c r="N232" s="208">
        <f t="shared" si="129"/>
        <v>2.9643497364708341E-2</v>
      </c>
      <c r="O232" s="209">
        <f t="shared" si="129"/>
        <v>0</v>
      </c>
      <c r="P232" s="206">
        <f t="shared" si="129"/>
        <v>0.14199960575018544</v>
      </c>
      <c r="Q232" s="336"/>
      <c r="R232" s="337"/>
    </row>
    <row r="233" spans="2:18" s="1" customFormat="1" x14ac:dyDescent="0.25">
      <c r="B233" s="259" t="s">
        <v>537</v>
      </c>
      <c r="C233" s="260" t="s">
        <v>400</v>
      </c>
      <c r="D233" s="335">
        <v>0</v>
      </c>
      <c r="E233" s="415">
        <f>IFERROR($D233*E$237/100, 0)</f>
        <v>0</v>
      </c>
      <c r="F233" s="206">
        <f t="shared" si="104"/>
        <v>0</v>
      </c>
      <c r="G233" s="210">
        <f t="shared" si="128"/>
        <v>0</v>
      </c>
      <c r="H233" s="211">
        <f t="shared" si="128"/>
        <v>0</v>
      </c>
      <c r="I233" s="212">
        <f t="shared" si="128"/>
        <v>0</v>
      </c>
      <c r="J233" s="206">
        <f t="shared" si="100"/>
        <v>0</v>
      </c>
      <c r="K233" s="210">
        <f t="shared" si="129"/>
        <v>0</v>
      </c>
      <c r="L233" s="211">
        <f t="shared" si="129"/>
        <v>0</v>
      </c>
      <c r="M233" s="211">
        <f t="shared" si="129"/>
        <v>0</v>
      </c>
      <c r="N233" s="208">
        <f t="shared" si="129"/>
        <v>0</v>
      </c>
      <c r="O233" s="209">
        <f t="shared" si="129"/>
        <v>0</v>
      </c>
      <c r="P233" s="206">
        <f t="shared" si="129"/>
        <v>0</v>
      </c>
      <c r="Q233" s="336"/>
      <c r="R233" s="337"/>
    </row>
    <row r="234" spans="2:18" s="1" customFormat="1" x14ac:dyDescent="0.25">
      <c r="B234" s="259" t="s">
        <v>538</v>
      </c>
      <c r="C234" s="250" t="s">
        <v>402</v>
      </c>
      <c r="D234" s="342">
        <v>3.52413</v>
      </c>
      <c r="E234" s="423">
        <f>IFERROR($D234*E$237/100, 0)</f>
        <v>0.58641676063412407</v>
      </c>
      <c r="F234" s="216">
        <f t="shared" si="104"/>
        <v>0.97350581465889352</v>
      </c>
      <c r="G234" s="217">
        <f t="shared" si="128"/>
        <v>0.20165903751552708</v>
      </c>
      <c r="H234" s="218">
        <f t="shared" si="128"/>
        <v>0.10872559400565911</v>
      </c>
      <c r="I234" s="219">
        <f t="shared" si="128"/>
        <v>0.6631211831377074</v>
      </c>
      <c r="J234" s="216">
        <f t="shared" si="100"/>
        <v>1.5136390051195749</v>
      </c>
      <c r="K234" s="217">
        <f t="shared" si="129"/>
        <v>0.98102701911759427</v>
      </c>
      <c r="L234" s="218">
        <f t="shared" si="129"/>
        <v>0.4182538168298745</v>
      </c>
      <c r="M234" s="218">
        <f t="shared" si="129"/>
        <v>0.11435816917210617</v>
      </c>
      <c r="N234" s="214">
        <f t="shared" si="129"/>
        <v>7.7815091409292728E-2</v>
      </c>
      <c r="O234" s="215">
        <f t="shared" si="129"/>
        <v>0</v>
      </c>
      <c r="P234" s="216">
        <f t="shared" si="129"/>
        <v>0.3727533281781148</v>
      </c>
      <c r="Q234" s="336"/>
      <c r="R234" s="337"/>
    </row>
    <row r="235" spans="2:18" s="1" customFormat="1" ht="15.75" thickBot="1" x14ac:dyDescent="0.3">
      <c r="B235" s="259" t="s">
        <v>539</v>
      </c>
      <c r="C235" s="250" t="s">
        <v>394</v>
      </c>
      <c r="D235" s="342">
        <v>0</v>
      </c>
      <c r="E235" s="423">
        <f>IFERROR($D235*E$237/100, 0)</f>
        <v>0</v>
      </c>
      <c r="F235" s="216">
        <f t="shared" si="104"/>
        <v>0</v>
      </c>
      <c r="G235" s="217">
        <f t="shared" si="128"/>
        <v>0</v>
      </c>
      <c r="H235" s="218">
        <f t="shared" si="128"/>
        <v>0</v>
      </c>
      <c r="I235" s="219">
        <f t="shared" si="128"/>
        <v>0</v>
      </c>
      <c r="J235" s="216">
        <f t="shared" si="100"/>
        <v>0</v>
      </c>
      <c r="K235" s="217">
        <f t="shared" si="129"/>
        <v>0</v>
      </c>
      <c r="L235" s="218">
        <f t="shared" si="129"/>
        <v>0</v>
      </c>
      <c r="M235" s="218">
        <f t="shared" si="129"/>
        <v>0</v>
      </c>
      <c r="N235" s="214">
        <f t="shared" si="129"/>
        <v>0</v>
      </c>
      <c r="O235" s="215">
        <f t="shared" si="129"/>
        <v>0</v>
      </c>
      <c r="P235" s="216">
        <f t="shared" si="129"/>
        <v>0</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16.640043376212684</v>
      </c>
      <c r="F237" s="146">
        <f>SUM(G237:I237)</f>
        <v>27.624004070760542</v>
      </c>
      <c r="G237" s="147">
        <f>IFERROR((G25+G26)/($D$25+$D$26)*100, 0)</f>
        <v>5.7222360558642018</v>
      </c>
      <c r="H237" s="148">
        <f>IFERROR((H25+H26)/($D$25+$D$26)*100, 0)</f>
        <v>3.0851754619057496</v>
      </c>
      <c r="I237" s="149">
        <f>IFERROR((I25+I26)/($D$25+$D$26)*100, 0)</f>
        <v>18.816592552990592</v>
      </c>
      <c r="J237" s="146">
        <f>SUM(K237:M237)</f>
        <v>42.950714222221507</v>
      </c>
      <c r="K237" s="147">
        <f t="shared" ref="K237:P237" si="130">IFERROR((K25+K26)/($D$25+$D$26)*100, 0)</f>
        <v>27.837424247050883</v>
      </c>
      <c r="L237" s="148">
        <f t="shared" si="130"/>
        <v>11.868285699729423</v>
      </c>
      <c r="M237" s="148">
        <f t="shared" si="130"/>
        <v>3.2450042754412061</v>
      </c>
      <c r="N237" s="144">
        <f t="shared" si="130"/>
        <v>2.2080652929742302</v>
      </c>
      <c r="O237" s="145">
        <f t="shared" si="130"/>
        <v>0</v>
      </c>
      <c r="P237" s="146">
        <f t="shared" si="130"/>
        <v>10.577173037831034</v>
      </c>
      <c r="Q237" s="336"/>
      <c r="R237" s="337"/>
    </row>
    <row r="238" spans="2:18" s="1" customFormat="1" ht="33.75" customHeight="1" thickBot="1" x14ac:dyDescent="0.3">
      <c r="B238" s="284" t="s">
        <v>214</v>
      </c>
      <c r="C238" s="424" t="s">
        <v>542</v>
      </c>
      <c r="D238" s="425">
        <f>ROUND((E238+F238+J238+N238+O238+P238),1)</f>
        <v>100</v>
      </c>
      <c r="E238" s="426">
        <f>VAS075_F_Verslovienetui22ApskaitosVeikla</f>
        <v>3.7637376328271888</v>
      </c>
      <c r="F238" s="427">
        <f>SUM(G238:I238)</f>
        <v>44.807050542341727</v>
      </c>
      <c r="G238" s="428">
        <f>VAS075_F_Verslovienetui231GeriamojoVandens</f>
        <v>18.436578590690274</v>
      </c>
      <c r="H238" s="429">
        <f>VAS075_F_Verslovienetui232GeriamojoVandens</f>
        <v>2.8321892037971637</v>
      </c>
      <c r="I238" s="430">
        <f>VAS075_F_Verslovienetui233GeriamojoVandens</f>
        <v>23.538282747854293</v>
      </c>
      <c r="J238" s="427">
        <f>SUM(K238:M238)</f>
        <v>47.513623728910709</v>
      </c>
      <c r="K238" s="428">
        <f>VAS075_F_Verslovienetui241NuotekuSurinkimas</f>
        <v>36.439316707862005</v>
      </c>
      <c r="L238" s="429">
        <f>VAS075_F_Verslovienetui242NuotekuValymas</f>
        <v>10.170305248046509</v>
      </c>
      <c r="M238" s="429">
        <f>VAS075_F_Verslovienetui243NuotekuDumblo</f>
        <v>0.90400177300219153</v>
      </c>
      <c r="N238" s="425">
        <f>VAS075_F_Verslovienetui25PavirsiniuNuoteku</f>
        <v>0</v>
      </c>
      <c r="O238" s="426">
        <f>VAS075_F_Verslovienetui26KitosReguliuojamosios</f>
        <v>0</v>
      </c>
      <c r="P238" s="427">
        <f>VAS075_F_Verslovienetui27KitosVeiklos</f>
        <v>3.9155880959203762</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X8IqjyPiwkADYGU0kkDOtdlT4qY6UN8bAyaO48kEaaV9VIJ7bKx8U5Fu3N5VKVXizXgq+aV+csi0W7TxIjqgMw==" saltValue="WpR97TLLLFiKhdn/pLKiD2QqL+AlXWlS8VNeF2zDmgbsgNDMORtpJC+ZRLBnl7UID8K0s0d95dyfujZQQheIcg=="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zoomScale="93" zoomScaleNormal="93" workbookViewId="0">
      <selection activeCell="D44" sqref="D44:D52"/>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1" t="s">
        <v>0</v>
      </c>
      <c r="B1" s="1312"/>
      <c r="C1" s="1312"/>
      <c r="D1" s="1312"/>
      <c r="E1" s="1313"/>
    </row>
    <row r="2" spans="1:5" s="1" customFormat="1" x14ac:dyDescent="0.25">
      <c r="A2" s="1311" t="s">
        <v>1</v>
      </c>
      <c r="B2" s="1312"/>
      <c r="C2" s="1312"/>
      <c r="D2" s="1312"/>
      <c r="E2" s="1313"/>
    </row>
    <row r="3" spans="1:5" s="1" customFormat="1" x14ac:dyDescent="0.25">
      <c r="A3" s="1314"/>
      <c r="B3" s="1315"/>
      <c r="C3" s="1315"/>
      <c r="D3" s="1315"/>
      <c r="E3" s="1316"/>
    </row>
    <row r="4" spans="1:5" s="1" customFormat="1" x14ac:dyDescent="0.25">
      <c r="A4" s="435"/>
      <c r="B4" s="435"/>
      <c r="C4" s="435"/>
      <c r="D4" s="436"/>
      <c r="E4" s="435"/>
    </row>
    <row r="5" spans="1:5" s="1" customFormat="1" x14ac:dyDescent="0.25">
      <c r="A5" s="1317" t="s">
        <v>545</v>
      </c>
      <c r="B5" s="1318"/>
      <c r="C5" s="1318"/>
      <c r="D5" s="1318"/>
      <c r="E5" s="1319"/>
    </row>
    <row r="6" spans="1:5" s="1" customFormat="1" x14ac:dyDescent="0.25">
      <c r="A6" s="1308" t="s">
        <v>546</v>
      </c>
      <c r="B6" s="1309"/>
      <c r="C6" s="1309"/>
      <c r="D6" s="1310"/>
      <c r="E6" s="1309"/>
    </row>
    <row r="7" spans="1:5" s="1" customFormat="1" x14ac:dyDescent="0.25">
      <c r="A7" s="1309"/>
      <c r="B7" s="1309"/>
      <c r="C7" s="1309"/>
      <c r="D7" s="1310"/>
      <c r="E7" s="1309"/>
    </row>
    <row r="8" spans="1:5" s="1" customFormat="1" x14ac:dyDescent="0.25">
      <c r="A8" s="435"/>
      <c r="B8" s="435"/>
      <c r="C8" s="435"/>
      <c r="D8" s="436"/>
      <c r="E8" s="435"/>
    </row>
    <row r="9" spans="1:5" s="1" customFormat="1" ht="35.25" customHeight="1" thickBot="1" x14ac:dyDescent="0.3">
      <c r="B9" s="1307" t="s">
        <v>547</v>
      </c>
      <c r="C9" s="1307"/>
      <c r="D9" s="1307"/>
      <c r="E9" s="1307"/>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10358.768</v>
      </c>
      <c r="E11" s="444" t="s">
        <v>550</v>
      </c>
    </row>
    <row r="12" spans="1:5" s="1" customFormat="1" ht="46.5" customHeight="1" thickTop="1" thickBot="1" x14ac:dyDescent="0.3">
      <c r="B12" s="441" t="s">
        <v>51</v>
      </c>
      <c r="C12" s="442" t="s">
        <v>551</v>
      </c>
      <c r="D12" s="443">
        <f>SUM(D13:D14)+D18+D19</f>
        <v>3603.5354611263615</v>
      </c>
      <c r="E12" s="444" t="s">
        <v>552</v>
      </c>
    </row>
    <row r="13" spans="1:5" s="1" customFormat="1" ht="41.25" customHeight="1" thickTop="1" x14ac:dyDescent="0.25">
      <c r="B13" s="445" t="s">
        <v>96</v>
      </c>
      <c r="C13" s="446" t="s">
        <v>553</v>
      </c>
      <c r="D13" s="447">
        <f>VAS076_F_Paskirstomasil23IsViso</f>
        <v>1131.3833008119589</v>
      </c>
      <c r="E13" s="448" t="s">
        <v>552</v>
      </c>
    </row>
    <row r="14" spans="1:5" s="1" customFormat="1" ht="40.5" customHeight="1" x14ac:dyDescent="0.25">
      <c r="B14" s="449" t="s">
        <v>102</v>
      </c>
      <c r="C14" s="450" t="s">
        <v>554</v>
      </c>
      <c r="D14" s="451">
        <f>VAS076_F_Paskirstomasil24IsViso</f>
        <v>2469.624487768117</v>
      </c>
      <c r="E14" s="452" t="s">
        <v>552</v>
      </c>
    </row>
    <row r="15" spans="1:5" s="1" customFormat="1" ht="40.5" customHeight="1" x14ac:dyDescent="0.25">
      <c r="B15" s="449" t="s">
        <v>104</v>
      </c>
      <c r="C15" s="450" t="s">
        <v>555</v>
      </c>
      <c r="D15" s="451">
        <f>VAS076_F_Paskirstomasil241NuotekuSurinkimas</f>
        <v>2418.1872082690388</v>
      </c>
      <c r="E15" s="452" t="s">
        <v>552</v>
      </c>
    </row>
    <row r="16" spans="1:5" s="1" customFormat="1" ht="36.75" customHeight="1" x14ac:dyDescent="0.25">
      <c r="B16" s="449" t="s">
        <v>110</v>
      </c>
      <c r="C16" s="450" t="s">
        <v>556</v>
      </c>
      <c r="D16" s="451">
        <f>VAS076_F_Paskirstomasil242NuotekuValymas</f>
        <v>49.831986588003545</v>
      </c>
      <c r="E16" s="452" t="s">
        <v>552</v>
      </c>
    </row>
    <row r="17" spans="2:5" s="1" customFormat="1" ht="34.5" customHeight="1" x14ac:dyDescent="0.25">
      <c r="B17" s="449" t="s">
        <v>117</v>
      </c>
      <c r="C17" s="450" t="s">
        <v>557</v>
      </c>
      <c r="D17" s="451">
        <f>VAS076_F_Paskirstomasil243NuotekuDumblo</f>
        <v>1.605292911074292</v>
      </c>
      <c r="E17" s="452" t="s">
        <v>552</v>
      </c>
    </row>
    <row r="18" spans="2:5" s="1" customFormat="1" ht="31.5" customHeight="1" x14ac:dyDescent="0.25">
      <c r="B18" s="453" t="s">
        <v>124</v>
      </c>
      <c r="C18" s="450" t="s">
        <v>558</v>
      </c>
      <c r="D18" s="451">
        <f>VAS076_F_Paskirstomasil25PavirsiniuNuoteku</f>
        <v>0</v>
      </c>
      <c r="E18" s="452" t="s">
        <v>552</v>
      </c>
    </row>
    <row r="19" spans="2:5" s="1" customFormat="1" ht="39.75" customHeight="1" thickBot="1" x14ac:dyDescent="0.3">
      <c r="B19" s="453" t="s">
        <v>131</v>
      </c>
      <c r="C19" s="454" t="s">
        <v>559</v>
      </c>
      <c r="D19" s="455">
        <f>VAS076_F_Paskirstomasil22ApskaitosVeikla</f>
        <v>2.5276725462860603</v>
      </c>
      <c r="E19" s="456" t="s">
        <v>552</v>
      </c>
    </row>
    <row r="20" spans="2:5" s="1" customFormat="1" ht="24" x14ac:dyDescent="0.25">
      <c r="B20" s="457" t="s">
        <v>53</v>
      </c>
      <c r="C20" s="458" t="s">
        <v>560</v>
      </c>
      <c r="D20" s="459">
        <f>SUM(D21:D30)</f>
        <v>6750.0048387622819</v>
      </c>
      <c r="E20" s="460"/>
    </row>
    <row r="21" spans="2:5" s="1" customFormat="1" x14ac:dyDescent="0.25">
      <c r="B21" s="449" t="s">
        <v>55</v>
      </c>
      <c r="C21" s="461" t="s">
        <v>561</v>
      </c>
      <c r="D21" s="462">
        <v>6722.7628600000007</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0</v>
      </c>
      <c r="E25" s="452"/>
    </row>
    <row r="26" spans="2:5" s="1" customFormat="1" x14ac:dyDescent="0.25">
      <c r="B26" s="449" t="s">
        <v>318</v>
      </c>
      <c r="C26" s="461" t="s">
        <v>566</v>
      </c>
      <c r="D26" s="462">
        <v>0</v>
      </c>
      <c r="E26" s="452"/>
    </row>
    <row r="27" spans="2:5" s="1" customFormat="1" ht="24" x14ac:dyDescent="0.25">
      <c r="B27" s="449" t="s">
        <v>322</v>
      </c>
      <c r="C27" s="461" t="s">
        <v>567</v>
      </c>
      <c r="D27" s="462">
        <v>0</v>
      </c>
      <c r="E27" s="452"/>
    </row>
    <row r="28" spans="2:5" s="1" customFormat="1" x14ac:dyDescent="0.25">
      <c r="B28" s="449" t="s">
        <v>331</v>
      </c>
      <c r="C28" s="461" t="s">
        <v>568</v>
      </c>
      <c r="D28" s="462">
        <v>2.1720000000000002</v>
      </c>
      <c r="E28" s="452"/>
    </row>
    <row r="29" spans="2:5" s="1" customFormat="1" ht="24" x14ac:dyDescent="0.25">
      <c r="B29" s="453" t="s">
        <v>333</v>
      </c>
      <c r="C29" s="463" t="s">
        <v>569</v>
      </c>
      <c r="D29" s="464">
        <v>50.492299999999993</v>
      </c>
      <c r="E29" s="456"/>
    </row>
    <row r="30" spans="2:5" s="1" customFormat="1" ht="24.75" thickBot="1" x14ac:dyDescent="0.3">
      <c r="B30" s="465" t="s">
        <v>343</v>
      </c>
      <c r="C30" s="466" t="s">
        <v>570</v>
      </c>
      <c r="D30" s="467">
        <f>D11-D12-D31-D21-D22-D23-D24-D25-D26-D27-D28-D29</f>
        <v>-25.422321237717906</v>
      </c>
      <c r="E30" s="468"/>
    </row>
    <row r="31" spans="2:5" s="1" customFormat="1" x14ac:dyDescent="0.25">
      <c r="B31" s="469" t="s">
        <v>59</v>
      </c>
      <c r="C31" s="470" t="s">
        <v>571</v>
      </c>
      <c r="D31" s="471">
        <f>SUM(D32:D33)</f>
        <v>5.227700111356306</v>
      </c>
      <c r="E31" s="452" t="s">
        <v>552</v>
      </c>
    </row>
    <row r="32" spans="2:5" s="1" customFormat="1" x14ac:dyDescent="0.25">
      <c r="B32" s="449" t="s">
        <v>150</v>
      </c>
      <c r="C32" s="450" t="s">
        <v>572</v>
      </c>
      <c r="D32" s="451">
        <f>VAS076_F_Paskirstomasil26KitosReguliuojamosios</f>
        <v>0</v>
      </c>
      <c r="E32" s="452" t="s">
        <v>552</v>
      </c>
    </row>
    <row r="33" spans="2:5" s="1" customFormat="1" ht="15.75" thickBot="1" x14ac:dyDescent="0.3">
      <c r="B33" s="453" t="s">
        <v>152</v>
      </c>
      <c r="C33" s="454" t="s">
        <v>573</v>
      </c>
      <c r="D33" s="455">
        <f>VAS076_F_Paskirstomasil27KitosVeiklos</f>
        <v>5.227700111356306</v>
      </c>
      <c r="E33" s="456" t="s">
        <v>552</v>
      </c>
    </row>
    <row r="34" spans="2:5" s="1" customFormat="1" ht="25.5" thickTop="1" thickBot="1" x14ac:dyDescent="0.3">
      <c r="B34" s="441" t="s">
        <v>574</v>
      </c>
      <c r="C34" s="442" t="s">
        <v>575</v>
      </c>
      <c r="D34" s="472">
        <v>13266.025210000002</v>
      </c>
      <c r="E34" s="444"/>
    </row>
    <row r="35" spans="2:5" s="1" customFormat="1" ht="37.5" thickTop="1" thickBot="1" x14ac:dyDescent="0.3">
      <c r="B35" s="441" t="s">
        <v>63</v>
      </c>
      <c r="C35" s="442" t="s">
        <v>576</v>
      </c>
      <c r="D35" s="443">
        <f>SUM(D36:D37)+D41+D42</f>
        <v>5180.9327386996019</v>
      </c>
      <c r="E35" s="444" t="s">
        <v>577</v>
      </c>
    </row>
    <row r="36" spans="2:5" s="1" customFormat="1" ht="24.75" thickTop="1" x14ac:dyDescent="0.25">
      <c r="B36" s="445" t="s">
        <v>65</v>
      </c>
      <c r="C36" s="446" t="s">
        <v>578</v>
      </c>
      <c r="D36" s="447">
        <f>VAS075_F_Paskirstomasil13IsViso</f>
        <v>1763.2721349924764</v>
      </c>
      <c r="E36" s="448" t="s">
        <v>577</v>
      </c>
    </row>
    <row r="37" spans="2:5" s="1" customFormat="1" ht="24" x14ac:dyDescent="0.25">
      <c r="B37" s="449" t="s">
        <v>69</v>
      </c>
      <c r="C37" s="450" t="s">
        <v>579</v>
      </c>
      <c r="D37" s="451">
        <f>VAS075_F_Paskirstomasil14IsViso</f>
        <v>3413.2229060906971</v>
      </c>
      <c r="E37" s="452" t="s">
        <v>577</v>
      </c>
    </row>
    <row r="38" spans="2:5" s="1" customFormat="1" ht="24" x14ac:dyDescent="0.25">
      <c r="B38" s="449" t="s">
        <v>580</v>
      </c>
      <c r="C38" s="450" t="s">
        <v>581</v>
      </c>
      <c r="D38" s="451">
        <f>VAS075_F_Paskirstomasil141NuotekuSurinkimas</f>
        <v>3345.5425869439282</v>
      </c>
      <c r="E38" s="452" t="s">
        <v>577</v>
      </c>
    </row>
    <row r="39" spans="2:5" s="1" customFormat="1" ht="24" x14ac:dyDescent="0.25">
      <c r="B39" s="449" t="s">
        <v>582</v>
      </c>
      <c r="C39" s="450" t="s">
        <v>583</v>
      </c>
      <c r="D39" s="451">
        <f>VAS075_F_Paskirstomasil142NuotekuValymas</f>
        <v>65.169992437566378</v>
      </c>
      <c r="E39" s="452" t="s">
        <v>577</v>
      </c>
    </row>
    <row r="40" spans="2:5" s="1" customFormat="1" ht="24" x14ac:dyDescent="0.25">
      <c r="B40" s="449" t="s">
        <v>584</v>
      </c>
      <c r="C40" s="450" t="s">
        <v>585</v>
      </c>
      <c r="D40" s="451">
        <f>VAS075_F_Paskirstomasil143NuotekuDumblo</f>
        <v>2.5103267092025026</v>
      </c>
      <c r="E40" s="452" t="s">
        <v>577</v>
      </c>
    </row>
    <row r="41" spans="2:5" s="1" customFormat="1" ht="24" x14ac:dyDescent="0.25">
      <c r="B41" s="453" t="s">
        <v>71</v>
      </c>
      <c r="C41" s="450" t="s">
        <v>586</v>
      </c>
      <c r="D41" s="451">
        <f>VAS075_F_Paskirstomasil15PavirsiniuNuoteku</f>
        <v>0</v>
      </c>
      <c r="E41" s="452" t="s">
        <v>577</v>
      </c>
    </row>
    <row r="42" spans="2:5" s="1" customFormat="1" ht="24.75" thickBot="1" x14ac:dyDescent="0.3">
      <c r="B42" s="453" t="s">
        <v>73</v>
      </c>
      <c r="C42" s="454" t="s">
        <v>587</v>
      </c>
      <c r="D42" s="455">
        <f>VAS075_F_Paskirstomasil12ApskaitosVeikla</f>
        <v>4.4376976164282276</v>
      </c>
      <c r="E42" s="456" t="s">
        <v>577</v>
      </c>
    </row>
    <row r="43" spans="2:5" s="1" customFormat="1" ht="24" x14ac:dyDescent="0.25">
      <c r="B43" s="457" t="s">
        <v>77</v>
      </c>
      <c r="C43" s="458" t="s">
        <v>588</v>
      </c>
      <c r="D43" s="459">
        <f>SUM(D44:D53)</f>
        <v>8074.906710000002</v>
      </c>
      <c r="E43" s="460"/>
    </row>
    <row r="44" spans="2:5" s="1" customFormat="1" x14ac:dyDescent="0.25">
      <c r="B44" s="449" t="s">
        <v>497</v>
      </c>
      <c r="C44" s="461" t="s">
        <v>561</v>
      </c>
      <c r="D44" s="462">
        <v>7460.5807699999996</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0</v>
      </c>
      <c r="E48" s="452"/>
    </row>
    <row r="49" spans="2:5" s="1" customFormat="1" x14ac:dyDescent="0.25">
      <c r="B49" s="449" t="s">
        <v>179</v>
      </c>
      <c r="C49" s="461" t="s">
        <v>566</v>
      </c>
      <c r="D49" s="462">
        <v>0</v>
      </c>
      <c r="E49" s="452"/>
    </row>
    <row r="50" spans="2:5" s="1" customFormat="1" ht="24" x14ac:dyDescent="0.25">
      <c r="B50" s="449" t="s">
        <v>181</v>
      </c>
      <c r="C50" s="461" t="s">
        <v>567</v>
      </c>
      <c r="D50" s="462">
        <v>0</v>
      </c>
      <c r="E50" s="452"/>
    </row>
    <row r="51" spans="2:5" s="1" customFormat="1" x14ac:dyDescent="0.25">
      <c r="B51" s="449" t="s">
        <v>183</v>
      </c>
      <c r="C51" s="461" t="s">
        <v>568</v>
      </c>
      <c r="D51" s="462">
        <v>119.29176999999994</v>
      </c>
      <c r="E51" s="452"/>
    </row>
    <row r="52" spans="2:5" s="1" customFormat="1" ht="24" x14ac:dyDescent="0.25">
      <c r="B52" s="453" t="s">
        <v>185</v>
      </c>
      <c r="C52" s="463" t="s">
        <v>569</v>
      </c>
      <c r="D52" s="464">
        <v>508.04563999999999</v>
      </c>
      <c r="E52" s="456"/>
    </row>
    <row r="53" spans="2:5" s="1" customFormat="1" ht="24.75" thickBot="1" x14ac:dyDescent="0.3">
      <c r="B53" s="465" t="s">
        <v>187</v>
      </c>
      <c r="C53" s="466" t="s">
        <v>589</v>
      </c>
      <c r="D53" s="473">
        <f>D34-D35-D54-D44-D45-D46-D47-D48-D49-D50-D51-D52</f>
        <v>-13.011469999997473</v>
      </c>
      <c r="E53" s="468"/>
    </row>
    <row r="54" spans="2:5" s="1" customFormat="1" x14ac:dyDescent="0.25">
      <c r="B54" s="469" t="s">
        <v>79</v>
      </c>
      <c r="C54" s="470" t="s">
        <v>590</v>
      </c>
      <c r="D54" s="471">
        <f>D55+D56</f>
        <v>10.185761300397457</v>
      </c>
      <c r="E54" s="452" t="s">
        <v>577</v>
      </c>
    </row>
    <row r="55" spans="2:5" s="1" customFormat="1" x14ac:dyDescent="0.25">
      <c r="B55" s="449" t="s">
        <v>212</v>
      </c>
      <c r="C55" s="450" t="s">
        <v>591</v>
      </c>
      <c r="D55" s="451">
        <f>VAS075_F_Paskirstomasil16KitosReguliuojamosios</f>
        <v>0</v>
      </c>
      <c r="E55" s="452" t="s">
        <v>577</v>
      </c>
    </row>
    <row r="56" spans="2:5" s="1" customFormat="1" ht="15.75" thickBot="1" x14ac:dyDescent="0.3">
      <c r="B56" s="474" t="s">
        <v>214</v>
      </c>
      <c r="C56" s="475" t="s">
        <v>592</v>
      </c>
      <c r="D56" s="476">
        <f>VAS075_F_Paskirstomasil17KitosVeiklos</f>
        <v>10.185761300397457</v>
      </c>
      <c r="E56" s="468" t="s">
        <v>577</v>
      </c>
    </row>
  </sheetData>
  <sheetProtection algorithmName="SHA-512" hashValue="lI3a1mDTNDhFqzdLD7k4JSrJ+O5vsav1DbmL8XGGqSkaIONUvC9tiFBpbmyYavhnbsBIMZ94jmB/5j2dXjAoDQ==" saltValue="iP+R351cuyDaRSJTTQ7Lq5yl+1RJSNXBSz69n7bGRU75DW8J4MCADCKoJRhy+tYKgzlTbLvAsX0dIT6vMLwDbw=="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34"/>
  <sheetViews>
    <sheetView topLeftCell="A4" zoomScale="80" zoomScaleNormal="80" workbookViewId="0">
      <selection activeCell="K119" sqref="K119:P133"/>
    </sheetView>
  </sheetViews>
  <sheetFormatPr defaultColWidth="9.140625"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0" t="s">
        <v>0</v>
      </c>
      <c r="B1" s="1321"/>
      <c r="C1" s="1321"/>
      <c r="D1" s="1321"/>
      <c r="E1" s="1321"/>
      <c r="F1" s="1321"/>
      <c r="G1" s="1321"/>
      <c r="H1" s="1321"/>
      <c r="I1" s="1321"/>
      <c r="J1" s="1321"/>
      <c r="K1" s="1321"/>
      <c r="L1" s="1321"/>
      <c r="M1" s="1321"/>
      <c r="N1" s="1321"/>
      <c r="O1" s="1321"/>
      <c r="P1" s="1322"/>
    </row>
    <row r="2" spans="1:16" s="1" customFormat="1" x14ac:dyDescent="0.25">
      <c r="A2" s="1320" t="s">
        <v>1</v>
      </c>
      <c r="B2" s="1321"/>
      <c r="C2" s="1321"/>
      <c r="D2" s="1321"/>
      <c r="E2" s="1321"/>
      <c r="F2" s="1321"/>
      <c r="G2" s="1321"/>
      <c r="H2" s="1321"/>
      <c r="I2" s="1321"/>
      <c r="J2" s="1321"/>
      <c r="K2" s="1321"/>
      <c r="L2" s="1321"/>
      <c r="M2" s="1321"/>
      <c r="N2" s="1321"/>
      <c r="O2" s="1321"/>
      <c r="P2" s="1322"/>
    </row>
    <row r="3" spans="1:16" s="1" customFormat="1" x14ac:dyDescent="0.25">
      <c r="A3" s="1323"/>
      <c r="B3" s="1324"/>
      <c r="C3" s="1324"/>
      <c r="D3" s="1324"/>
      <c r="E3" s="1324"/>
      <c r="F3" s="1324"/>
      <c r="G3" s="1324"/>
      <c r="H3" s="1324"/>
      <c r="I3" s="1324"/>
      <c r="J3" s="1324"/>
      <c r="K3" s="1324"/>
      <c r="L3" s="1324"/>
      <c r="M3" s="1324"/>
      <c r="N3" s="1324"/>
      <c r="O3" s="1324"/>
      <c r="P3" s="1325"/>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6" t="s">
        <v>593</v>
      </c>
      <c r="B5" s="1327"/>
      <c r="C5" s="1327"/>
      <c r="D5" s="1327"/>
      <c r="E5" s="1327"/>
      <c r="F5" s="1327"/>
      <c r="G5" s="1327"/>
      <c r="H5" s="1327"/>
      <c r="I5" s="1327"/>
      <c r="J5" s="1327"/>
      <c r="K5" s="1327"/>
      <c r="L5" s="1327"/>
      <c r="M5" s="1327"/>
      <c r="N5" s="1327"/>
      <c r="O5" s="1327"/>
      <c r="P5" s="1328"/>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6" t="s">
        <v>594</v>
      </c>
      <c r="C8" s="1276"/>
      <c r="D8" s="1276"/>
      <c r="E8" s="1276"/>
      <c r="F8" s="1276"/>
      <c r="G8" s="1276"/>
      <c r="H8" s="1276"/>
      <c r="I8" s="1276"/>
      <c r="J8" s="1276"/>
      <c r="K8" s="1276"/>
      <c r="L8" s="1276"/>
      <c r="M8" s="1276"/>
      <c r="N8" s="1276"/>
      <c r="O8" s="1276"/>
      <c r="P8" s="1276"/>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5191.1185000000005</v>
      </c>
      <c r="E10" s="492">
        <f t="shared" si="0"/>
        <v>4.4376976164282276</v>
      </c>
      <c r="F10" s="493">
        <f t="shared" si="0"/>
        <v>1763.2721349924764</v>
      </c>
      <c r="G10" s="494">
        <f t="shared" si="0"/>
        <v>63.066642425951315</v>
      </c>
      <c r="H10" s="495">
        <f t="shared" si="0"/>
        <v>110.51910762178601</v>
      </c>
      <c r="I10" s="496">
        <f t="shared" si="0"/>
        <v>1589.6863849447391</v>
      </c>
      <c r="J10" s="493">
        <f t="shared" si="0"/>
        <v>3413.2229060906971</v>
      </c>
      <c r="K10" s="494">
        <f t="shared" si="0"/>
        <v>3345.5425869439282</v>
      </c>
      <c r="L10" s="495">
        <f t="shared" si="0"/>
        <v>65.169992437566378</v>
      </c>
      <c r="M10" s="497">
        <f t="shared" si="0"/>
        <v>2.5103267092025026</v>
      </c>
      <c r="N10" s="492">
        <f t="shared" si="0"/>
        <v>0</v>
      </c>
      <c r="O10" s="498">
        <f t="shared" si="0"/>
        <v>0</v>
      </c>
      <c r="P10" s="493">
        <f t="shared" si="0"/>
        <v>10.185761300397457</v>
      </c>
    </row>
    <row r="11" spans="1:16" s="1" customFormat="1" ht="15.75" thickTop="1" x14ac:dyDescent="0.25">
      <c r="B11" s="499" t="s">
        <v>96</v>
      </c>
      <c r="C11" s="500" t="s">
        <v>8</v>
      </c>
      <c r="D11" s="501">
        <f t="shared" ref="D11:D55" si="1">E11+F11+J11+N11+O11+P11</f>
        <v>16.750490000000003</v>
      </c>
      <c r="E11" s="502">
        <f>SUM(E12:E14)</f>
        <v>9.6154567177333394E-3</v>
      </c>
      <c r="F11" s="503">
        <f t="shared" ref="F11:F32" si="2">SUM(G11:I11)</f>
        <v>5.7535433816980843</v>
      </c>
      <c r="G11" s="504">
        <f>SUM(G12:G14)</f>
        <v>0.17867406495633564</v>
      </c>
      <c r="H11" s="505">
        <f>SUM(H12:H14)</f>
        <v>0.59255617286172069</v>
      </c>
      <c r="I11" s="506">
        <f>SUM(I12:I14)</f>
        <v>4.9823131438800283</v>
      </c>
      <c r="J11" s="503">
        <f t="shared" ref="J11:J32" si="3">SUM(K11:M11)</f>
        <v>10.411700506303129</v>
      </c>
      <c r="K11" s="504">
        <f t="shared" ref="K11:P11" si="4">SUM(K12:K14)</f>
        <v>9.1212473654188191</v>
      </c>
      <c r="L11" s="505">
        <f t="shared" si="4"/>
        <v>1.282233396624759</v>
      </c>
      <c r="M11" s="507">
        <f t="shared" si="4"/>
        <v>8.219744259549645E-3</v>
      </c>
      <c r="N11" s="502">
        <f t="shared" si="4"/>
        <v>0</v>
      </c>
      <c r="O11" s="508">
        <f t="shared" si="4"/>
        <v>0</v>
      </c>
      <c r="P11" s="503">
        <f t="shared" si="4"/>
        <v>0.5756306552810565</v>
      </c>
    </row>
    <row r="12" spans="1:16" s="1" customFormat="1" x14ac:dyDescent="0.25">
      <c r="B12" s="509" t="s">
        <v>98</v>
      </c>
      <c r="C12" s="510" t="s">
        <v>10</v>
      </c>
      <c r="D12" s="501">
        <f t="shared" si="1"/>
        <v>16.750490000000003</v>
      </c>
      <c r="E12" s="511">
        <f>SUM(E35,E58,E98)</f>
        <v>9.6154567177333394E-3</v>
      </c>
      <c r="F12" s="503">
        <f t="shared" si="2"/>
        <v>5.7535433816980843</v>
      </c>
      <c r="G12" s="512">
        <f t="shared" ref="G12:I14" si="5">SUM(G35,G58,G98)</f>
        <v>0.17867406495633564</v>
      </c>
      <c r="H12" s="513">
        <f t="shared" si="5"/>
        <v>0.59255617286172069</v>
      </c>
      <c r="I12" s="513">
        <f t="shared" si="5"/>
        <v>4.9823131438800283</v>
      </c>
      <c r="J12" s="503">
        <f t="shared" si="3"/>
        <v>10.411700506303129</v>
      </c>
      <c r="K12" s="514">
        <f t="shared" ref="K12:P14" si="6">SUM(K35,K58,K98)</f>
        <v>9.1212473654188191</v>
      </c>
      <c r="L12" s="515">
        <f t="shared" si="6"/>
        <v>1.282233396624759</v>
      </c>
      <c r="M12" s="515">
        <f t="shared" si="6"/>
        <v>8.219744259549645E-3</v>
      </c>
      <c r="N12" s="516">
        <f t="shared" si="6"/>
        <v>0</v>
      </c>
      <c r="O12" s="517">
        <f t="shared" si="6"/>
        <v>0</v>
      </c>
      <c r="P12" s="518">
        <f t="shared" si="6"/>
        <v>0.5756306552810565</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5026.1588099999999</v>
      </c>
      <c r="E15" s="502">
        <f>SUM(E16:E19)</f>
        <v>1.1106119976665602E-2</v>
      </c>
      <c r="F15" s="503">
        <f t="shared" si="2"/>
        <v>1664.8754365857469</v>
      </c>
      <c r="G15" s="504">
        <f>SUM(G16:G19)</f>
        <v>14.858066181788256</v>
      </c>
      <c r="H15" s="505">
        <f>SUM(H16:H19)</f>
        <v>108.28976370641061</v>
      </c>
      <c r="I15" s="506">
        <f>SUM(I16:I19)</f>
        <v>1541.727606697548</v>
      </c>
      <c r="J15" s="503">
        <f t="shared" si="3"/>
        <v>3360.6073978754362</v>
      </c>
      <c r="K15" s="521">
        <f t="shared" ref="K15:P15" si="8">SUM(K16:K19)</f>
        <v>3311.3564444276017</v>
      </c>
      <c r="L15" s="522">
        <f t="shared" si="8"/>
        <v>49.241459414570897</v>
      </c>
      <c r="M15" s="522">
        <f t="shared" si="8"/>
        <v>9.4940332637248326E-3</v>
      </c>
      <c r="N15" s="523">
        <f t="shared" si="8"/>
        <v>0</v>
      </c>
      <c r="O15" s="502">
        <f t="shared" si="8"/>
        <v>0</v>
      </c>
      <c r="P15" s="503">
        <f t="shared" si="8"/>
        <v>0.66486941883974104</v>
      </c>
    </row>
    <row r="16" spans="1:16" s="1" customFormat="1" x14ac:dyDescent="0.25">
      <c r="B16" s="509" t="s">
        <v>104</v>
      </c>
      <c r="C16" s="510" t="s">
        <v>17</v>
      </c>
      <c r="D16" s="501">
        <f t="shared" si="1"/>
        <v>98.52700999999999</v>
      </c>
      <c r="E16" s="511">
        <f t="shared" ref="E16:E19" si="9">SUM(E39,E62,E102)</f>
        <v>7.9817896173939185E-3</v>
      </c>
      <c r="F16" s="503">
        <f t="shared" si="2"/>
        <v>89.398445760392178</v>
      </c>
      <c r="G16" s="512">
        <f t="shared" ref="G16:I19" si="10">SUM(G39,G62,G102)</f>
        <v>2.1154173226640274</v>
      </c>
      <c r="H16" s="513">
        <f t="shared" si="10"/>
        <v>83.147210817220852</v>
      </c>
      <c r="I16" s="513">
        <f t="shared" si="10"/>
        <v>4.1358176205073018</v>
      </c>
      <c r="J16" s="503">
        <f t="shared" si="3"/>
        <v>8.6427515031460196</v>
      </c>
      <c r="K16" s="514">
        <f t="shared" ref="K16:P19" si="11">SUM(K39,K62,K102)</f>
        <v>7.5715464856404324</v>
      </c>
      <c r="L16" s="515">
        <f t="shared" si="11"/>
        <v>1.0643818086539971</v>
      </c>
      <c r="M16" s="515">
        <f t="shared" si="11"/>
        <v>6.823208851588749E-3</v>
      </c>
      <c r="N16" s="516">
        <f t="shared" si="11"/>
        <v>0</v>
      </c>
      <c r="O16" s="517">
        <f t="shared" si="11"/>
        <v>0</v>
      </c>
      <c r="P16" s="519">
        <f t="shared" si="11"/>
        <v>0.47783094684441302</v>
      </c>
    </row>
    <row r="17" spans="2:16" s="1" customFormat="1" x14ac:dyDescent="0.25">
      <c r="B17" s="509" t="s">
        <v>110</v>
      </c>
      <c r="C17" s="510" t="s">
        <v>597</v>
      </c>
      <c r="D17" s="501">
        <f t="shared" si="1"/>
        <v>7.7724099999999998</v>
      </c>
      <c r="E17" s="511">
        <f t="shared" si="9"/>
        <v>1.8407234454425458E-3</v>
      </c>
      <c r="F17" s="503">
        <f t="shared" si="2"/>
        <v>4.7224926893175594</v>
      </c>
      <c r="G17" s="512">
        <f t="shared" si="10"/>
        <v>3.6552742557220492</v>
      </c>
      <c r="H17" s="513">
        <f t="shared" si="10"/>
        <v>0.11343528156251681</v>
      </c>
      <c r="I17" s="513">
        <f t="shared" si="10"/>
        <v>0.95378315203299346</v>
      </c>
      <c r="J17" s="503">
        <f t="shared" si="3"/>
        <v>2.9378814218698479</v>
      </c>
      <c r="K17" s="514">
        <f t="shared" si="11"/>
        <v>2.6908450697338191</v>
      </c>
      <c r="L17" s="515">
        <f t="shared" si="11"/>
        <v>0.24546281523411664</v>
      </c>
      <c r="M17" s="515">
        <f t="shared" si="11"/>
        <v>1.5735369019123915E-3</v>
      </c>
      <c r="N17" s="516">
        <f t="shared" si="11"/>
        <v>0</v>
      </c>
      <c r="O17" s="517">
        <f t="shared" si="11"/>
        <v>0</v>
      </c>
      <c r="P17" s="519">
        <f t="shared" si="11"/>
        <v>0.11019516536714975</v>
      </c>
    </row>
    <row r="18" spans="2:16" s="1" customFormat="1" x14ac:dyDescent="0.25">
      <c r="B18" s="509" t="s">
        <v>117</v>
      </c>
      <c r="C18" s="510" t="s">
        <v>23</v>
      </c>
      <c r="D18" s="501">
        <f t="shared" si="1"/>
        <v>4795.8889600000002</v>
      </c>
      <c r="E18" s="511">
        <f t="shared" si="9"/>
        <v>0</v>
      </c>
      <c r="F18" s="503">
        <f t="shared" si="2"/>
        <v>1496.0125400000002</v>
      </c>
      <c r="G18" s="512">
        <f t="shared" si="10"/>
        <v>0</v>
      </c>
      <c r="H18" s="513">
        <f t="shared" si="10"/>
        <v>0</v>
      </c>
      <c r="I18" s="513">
        <f t="shared" si="10"/>
        <v>1496.0125400000002</v>
      </c>
      <c r="J18" s="503">
        <f t="shared" si="3"/>
        <v>3299.8764199999996</v>
      </c>
      <c r="K18" s="514">
        <f t="shared" si="11"/>
        <v>3299.8764199999996</v>
      </c>
      <c r="L18" s="515">
        <f t="shared" si="11"/>
        <v>0</v>
      </c>
      <c r="M18" s="515">
        <f t="shared" si="11"/>
        <v>0</v>
      </c>
      <c r="N18" s="516">
        <f t="shared" si="11"/>
        <v>0</v>
      </c>
      <c r="O18" s="517">
        <f t="shared" si="11"/>
        <v>0</v>
      </c>
      <c r="P18" s="519">
        <f t="shared" si="11"/>
        <v>0</v>
      </c>
    </row>
    <row r="19" spans="2:16" s="1" customFormat="1" ht="38.25" x14ac:dyDescent="0.25">
      <c r="B19" s="509" t="s">
        <v>598</v>
      </c>
      <c r="C19" s="510" t="s">
        <v>599</v>
      </c>
      <c r="D19" s="501">
        <f t="shared" si="1"/>
        <v>123.97043000000001</v>
      </c>
      <c r="E19" s="511">
        <f t="shared" si="9"/>
        <v>1.2836069138291366E-3</v>
      </c>
      <c r="F19" s="503">
        <f t="shared" si="2"/>
        <v>74.741958136037013</v>
      </c>
      <c r="G19" s="512">
        <f t="shared" si="10"/>
        <v>9.0873746034021803</v>
      </c>
      <c r="H19" s="513">
        <f t="shared" si="10"/>
        <v>25.029117607627246</v>
      </c>
      <c r="I19" s="513">
        <f t="shared" si="10"/>
        <v>40.625465925007589</v>
      </c>
      <c r="J19" s="503">
        <f t="shared" si="3"/>
        <v>49.150344950420987</v>
      </c>
      <c r="K19" s="514">
        <f t="shared" si="11"/>
        <v>1.2176328722279717</v>
      </c>
      <c r="L19" s="515">
        <f t="shared" si="11"/>
        <v>47.931614790682787</v>
      </c>
      <c r="M19" s="515">
        <f t="shared" si="11"/>
        <v>1.0972875102236912E-3</v>
      </c>
      <c r="N19" s="516">
        <f t="shared" si="11"/>
        <v>0</v>
      </c>
      <c r="O19" s="517">
        <f t="shared" si="11"/>
        <v>0</v>
      </c>
      <c r="P19" s="519">
        <f t="shared" si="11"/>
        <v>7.6843306628178343E-2</v>
      </c>
    </row>
    <row r="20" spans="2:16" s="1" customFormat="1" x14ac:dyDescent="0.25">
      <c r="B20" s="499" t="s">
        <v>124</v>
      </c>
      <c r="C20" s="524" t="s">
        <v>27</v>
      </c>
      <c r="D20" s="501">
        <f t="shared" si="1"/>
        <v>64.86927</v>
      </c>
      <c r="E20" s="502">
        <f>SUM(E21:E22)</f>
        <v>0</v>
      </c>
      <c r="F20" s="503">
        <f t="shared" si="2"/>
        <v>49.347960617260128</v>
      </c>
      <c r="G20" s="504">
        <f>SUM(G21:G22)</f>
        <v>17.529404339575049</v>
      </c>
      <c r="H20" s="505">
        <f>SUM(H21:H22)</f>
        <v>0.99547052487511301</v>
      </c>
      <c r="I20" s="506">
        <f>SUM(I21:I22)</f>
        <v>30.82308575280997</v>
      </c>
      <c r="J20" s="503">
        <f t="shared" si="3"/>
        <v>9.7574922569942704</v>
      </c>
      <c r="K20" s="521">
        <f t="shared" ref="K20:P20" si="12">SUM(K21:K22)</f>
        <v>2.4587053313495986</v>
      </c>
      <c r="L20" s="522">
        <f t="shared" si="12"/>
        <v>6.3267869256446714</v>
      </c>
      <c r="M20" s="522">
        <f t="shared" si="12"/>
        <v>0.97199999999999998</v>
      </c>
      <c r="N20" s="523">
        <f t="shared" si="12"/>
        <v>0</v>
      </c>
      <c r="O20" s="502">
        <f t="shared" si="12"/>
        <v>0</v>
      </c>
      <c r="P20" s="503">
        <f t="shared" si="12"/>
        <v>5.7638171257455992</v>
      </c>
    </row>
    <row r="21" spans="2:16" s="1" customFormat="1" ht="51.75" x14ac:dyDescent="0.25">
      <c r="B21" s="509" t="s">
        <v>126</v>
      </c>
      <c r="C21" s="525" t="s">
        <v>29</v>
      </c>
      <c r="D21" s="501">
        <f t="shared" si="1"/>
        <v>61.902029999999996</v>
      </c>
      <c r="E21" s="511">
        <f>SUM(E44,E67,E107)</f>
        <v>0</v>
      </c>
      <c r="F21" s="503">
        <f t="shared" si="2"/>
        <v>49.347960617260128</v>
      </c>
      <c r="G21" s="512">
        <f t="shared" ref="G21:I21" si="13">SUM(G44,G67,G107)</f>
        <v>17.529404339575049</v>
      </c>
      <c r="H21" s="513">
        <f t="shared" si="13"/>
        <v>0.99547052487511301</v>
      </c>
      <c r="I21" s="513">
        <f t="shared" si="13"/>
        <v>30.82308575280997</v>
      </c>
      <c r="J21" s="503">
        <f t="shared" si="3"/>
        <v>6.79025225699427</v>
      </c>
      <c r="K21" s="514">
        <f t="shared" ref="K21:P21" si="14">SUM(K44,K67,K107)</f>
        <v>0.46346533134959861</v>
      </c>
      <c r="L21" s="515">
        <f t="shared" si="14"/>
        <v>6.3267869256446714</v>
      </c>
      <c r="M21" s="515">
        <f t="shared" si="14"/>
        <v>0</v>
      </c>
      <c r="N21" s="516">
        <f t="shared" si="14"/>
        <v>0</v>
      </c>
      <c r="O21" s="517">
        <f t="shared" si="14"/>
        <v>0</v>
      </c>
      <c r="P21" s="519">
        <f t="shared" si="14"/>
        <v>5.7638171257455992</v>
      </c>
    </row>
    <row r="22" spans="2:16" s="1" customFormat="1" x14ac:dyDescent="0.25">
      <c r="B22" s="509" t="s">
        <v>128</v>
      </c>
      <c r="C22" s="525" t="s">
        <v>31</v>
      </c>
      <c r="D22" s="501">
        <f t="shared" si="1"/>
        <v>2.9672399999999999</v>
      </c>
      <c r="E22" s="511">
        <f>SUM(E45,E68)</f>
        <v>0</v>
      </c>
      <c r="F22" s="503">
        <f t="shared" si="2"/>
        <v>0</v>
      </c>
      <c r="G22" s="512">
        <f t="shared" ref="G22:I22" si="15">SUM(G45,G68)</f>
        <v>0</v>
      </c>
      <c r="H22" s="513">
        <f t="shared" si="15"/>
        <v>0</v>
      </c>
      <c r="I22" s="513">
        <f t="shared" si="15"/>
        <v>0</v>
      </c>
      <c r="J22" s="503">
        <f t="shared" si="3"/>
        <v>2.9672399999999999</v>
      </c>
      <c r="K22" s="514">
        <f t="shared" ref="K22:P22" si="16">SUM(K45,K68)</f>
        <v>1.9952399999999999</v>
      </c>
      <c r="L22" s="515">
        <f t="shared" si="16"/>
        <v>0</v>
      </c>
      <c r="M22" s="515">
        <f t="shared" si="16"/>
        <v>0.97199999999999998</v>
      </c>
      <c r="N22" s="516">
        <f t="shared" si="16"/>
        <v>0</v>
      </c>
      <c r="O22" s="517">
        <f t="shared" si="16"/>
        <v>0</v>
      </c>
      <c r="P22" s="519">
        <f t="shared" si="16"/>
        <v>0</v>
      </c>
    </row>
    <row r="23" spans="2:16" s="1" customFormat="1" x14ac:dyDescent="0.25">
      <c r="B23" s="499" t="s">
        <v>131</v>
      </c>
      <c r="C23" s="524" t="s">
        <v>33</v>
      </c>
      <c r="D23" s="501">
        <f t="shared" si="1"/>
        <v>55.494590000000009</v>
      </c>
      <c r="E23" s="502">
        <f>SUM(E24:E25)</f>
        <v>0.91884410383149984</v>
      </c>
      <c r="F23" s="503">
        <f t="shared" si="2"/>
        <v>37.725317628850071</v>
      </c>
      <c r="G23" s="504">
        <f>SUM(G24:G25)</f>
        <v>30.359006599892172</v>
      </c>
      <c r="H23" s="505">
        <f>SUM(H24:H25)</f>
        <v>0.17207447928147385</v>
      </c>
      <c r="I23" s="506">
        <f>SUM(I24:I25)</f>
        <v>7.1942365496764236</v>
      </c>
      <c r="J23" s="503">
        <f t="shared" si="3"/>
        <v>14.12482365903649</v>
      </c>
      <c r="K23" s="521">
        <f t="shared" ref="K23:P23" si="17">SUM(K24:K25)</f>
        <v>5.3066024355004053</v>
      </c>
      <c r="L23" s="522">
        <f t="shared" si="17"/>
        <v>7.3041174727271185</v>
      </c>
      <c r="M23" s="522">
        <f t="shared" si="17"/>
        <v>1.5141037508089681</v>
      </c>
      <c r="N23" s="523">
        <f t="shared" si="17"/>
        <v>0</v>
      </c>
      <c r="O23" s="502">
        <f t="shared" si="17"/>
        <v>0</v>
      </c>
      <c r="P23" s="503">
        <f t="shared" si="17"/>
        <v>2.7256046082819463</v>
      </c>
    </row>
    <row r="24" spans="2:16" s="1" customFormat="1" x14ac:dyDescent="0.25">
      <c r="B24" s="526" t="s">
        <v>133</v>
      </c>
      <c r="C24" s="525" t="s">
        <v>600</v>
      </c>
      <c r="D24" s="501">
        <f t="shared" si="1"/>
        <v>3.4530700000000003</v>
      </c>
      <c r="E24" s="511">
        <f>SUM(E47,E70,E109)</f>
        <v>0.68708000000000002</v>
      </c>
      <c r="F24" s="527">
        <f t="shared" si="2"/>
        <v>2.7659900000000004</v>
      </c>
      <c r="G24" s="528">
        <f t="shared" ref="G24:I25" si="18">SUM(G47,G70,G109)</f>
        <v>1.1299999999999999</v>
      </c>
      <c r="H24" s="529">
        <f t="shared" si="18"/>
        <v>0</v>
      </c>
      <c r="I24" s="529">
        <f t="shared" si="18"/>
        <v>1.6359900000000005</v>
      </c>
      <c r="J24" s="527">
        <f t="shared" si="3"/>
        <v>0</v>
      </c>
      <c r="K24" s="530">
        <f t="shared" ref="K24:P25" si="19">SUM(K47,K70,K109)</f>
        <v>0</v>
      </c>
      <c r="L24" s="531">
        <f t="shared" si="19"/>
        <v>0</v>
      </c>
      <c r="M24" s="531">
        <f t="shared" si="19"/>
        <v>0</v>
      </c>
      <c r="N24" s="532">
        <f t="shared" si="19"/>
        <v>0</v>
      </c>
      <c r="O24" s="533">
        <f t="shared" si="19"/>
        <v>0</v>
      </c>
      <c r="P24" s="534">
        <f t="shared" si="19"/>
        <v>0</v>
      </c>
    </row>
    <row r="25" spans="2:16" s="1" customFormat="1" ht="26.25" x14ac:dyDescent="0.25">
      <c r="B25" s="526" t="s">
        <v>135</v>
      </c>
      <c r="C25" s="535" t="s">
        <v>601</v>
      </c>
      <c r="D25" s="501">
        <f t="shared" si="1"/>
        <v>52.041520000000013</v>
      </c>
      <c r="E25" s="511">
        <f>SUM(E48,E71,E110)</f>
        <v>0.23176410383149987</v>
      </c>
      <c r="F25" s="527">
        <f t="shared" si="2"/>
        <v>34.959327628850069</v>
      </c>
      <c r="G25" s="528">
        <f t="shared" si="18"/>
        <v>29.229006599892173</v>
      </c>
      <c r="H25" s="529">
        <f t="shared" si="18"/>
        <v>0.17207447928147385</v>
      </c>
      <c r="I25" s="529">
        <f t="shared" si="18"/>
        <v>5.5582465496764231</v>
      </c>
      <c r="J25" s="527">
        <f t="shared" si="3"/>
        <v>14.12482365903649</v>
      </c>
      <c r="K25" s="530">
        <f t="shared" si="19"/>
        <v>5.3066024355004053</v>
      </c>
      <c r="L25" s="531">
        <f t="shared" si="19"/>
        <v>7.3041174727271185</v>
      </c>
      <c r="M25" s="531">
        <f t="shared" si="19"/>
        <v>1.5141037508089681</v>
      </c>
      <c r="N25" s="532">
        <f t="shared" si="19"/>
        <v>0</v>
      </c>
      <c r="O25" s="533">
        <f t="shared" si="19"/>
        <v>0</v>
      </c>
      <c r="P25" s="534">
        <f t="shared" si="19"/>
        <v>2.7256046082819463</v>
      </c>
    </row>
    <row r="26" spans="2:16" s="1" customFormat="1" x14ac:dyDescent="0.25">
      <c r="B26" s="499" t="s">
        <v>274</v>
      </c>
      <c r="C26" s="536" t="s">
        <v>39</v>
      </c>
      <c r="D26" s="537">
        <f t="shared" si="1"/>
        <v>27.84534</v>
      </c>
      <c r="E26" s="538">
        <f>SUM(E27:E28)</f>
        <v>3.4981319359023284</v>
      </c>
      <c r="F26" s="539">
        <f t="shared" si="2"/>
        <v>5.5698767789213752</v>
      </c>
      <c r="G26" s="540">
        <f>SUM(G27:G28)</f>
        <v>0.14149123973950647</v>
      </c>
      <c r="H26" s="541">
        <f>SUM(H27:H28)</f>
        <v>0.46924273835708252</v>
      </c>
      <c r="I26" s="542">
        <f>SUM(I27:I28)</f>
        <v>4.959142800824786</v>
      </c>
      <c r="J26" s="539">
        <f t="shared" si="3"/>
        <v>18.321491792927187</v>
      </c>
      <c r="K26" s="540">
        <f t="shared" ref="K26:P26" si="20">SUM(K27:K28)</f>
        <v>17.29958738405799</v>
      </c>
      <c r="L26" s="541">
        <f t="shared" si="20"/>
        <v>1.0153952279989378</v>
      </c>
      <c r="M26" s="541">
        <f t="shared" si="20"/>
        <v>6.5091808702599932E-3</v>
      </c>
      <c r="N26" s="543">
        <f t="shared" si="20"/>
        <v>0</v>
      </c>
      <c r="O26" s="538">
        <f t="shared" si="20"/>
        <v>0</v>
      </c>
      <c r="P26" s="539">
        <f t="shared" si="20"/>
        <v>0.45583949224911358</v>
      </c>
    </row>
    <row r="27" spans="2:16" s="1" customFormat="1" x14ac:dyDescent="0.25">
      <c r="B27" s="544" t="s">
        <v>276</v>
      </c>
      <c r="C27" s="545" t="s">
        <v>41</v>
      </c>
      <c r="D27" s="546">
        <f t="shared" si="1"/>
        <v>15.155160000000002</v>
      </c>
      <c r="E27" s="511">
        <f>SUM(E50,E73,E112)</f>
        <v>3.4972134713828802</v>
      </c>
      <c r="F27" s="547">
        <f t="shared" si="2"/>
        <v>4.0066306524488393</v>
      </c>
      <c r="G27" s="548">
        <f t="shared" ref="G27:I28" si="21">SUM(G50,G73,G112)</f>
        <v>0.12442436564029283</v>
      </c>
      <c r="H27" s="549">
        <f t="shared" si="21"/>
        <v>0.412642013448214</v>
      </c>
      <c r="I27" s="549">
        <f t="shared" si="21"/>
        <v>3.4695642733603327</v>
      </c>
      <c r="J27" s="547">
        <f t="shared" si="3"/>
        <v>7.250460390264637</v>
      </c>
      <c r="K27" s="530">
        <f t="shared" ref="K27:P28" si="22">SUM(K50,K73,K112)</f>
        <v>6.3518195411727882</v>
      </c>
      <c r="L27" s="531">
        <f t="shared" si="22"/>
        <v>0.89291681485403196</v>
      </c>
      <c r="M27" s="531">
        <f t="shared" si="22"/>
        <v>5.7240342378164387E-3</v>
      </c>
      <c r="N27" s="532">
        <f t="shared" si="22"/>
        <v>0</v>
      </c>
      <c r="O27" s="550">
        <f t="shared" si="22"/>
        <v>0</v>
      </c>
      <c r="P27" s="551">
        <f t="shared" si="22"/>
        <v>0.40085548590364606</v>
      </c>
    </row>
    <row r="28" spans="2:16" s="1" customFormat="1" ht="26.25" x14ac:dyDescent="0.25">
      <c r="B28" s="544" t="s">
        <v>278</v>
      </c>
      <c r="C28" s="552" t="s">
        <v>43</v>
      </c>
      <c r="D28" s="537">
        <f t="shared" si="1"/>
        <v>12.690180000000002</v>
      </c>
      <c r="E28" s="511">
        <f>SUM(E51,E74,E113)</f>
        <v>9.1846451944828768E-4</v>
      </c>
      <c r="F28" s="539">
        <f t="shared" si="2"/>
        <v>1.563246126472535</v>
      </c>
      <c r="G28" s="530">
        <f t="shared" si="21"/>
        <v>1.7066874099213637E-2</v>
      </c>
      <c r="H28" s="531">
        <f t="shared" si="21"/>
        <v>5.6600724908868534E-2</v>
      </c>
      <c r="I28" s="531">
        <f t="shared" si="21"/>
        <v>1.4895785274644529</v>
      </c>
      <c r="J28" s="539">
        <f t="shared" si="3"/>
        <v>11.07103140266255</v>
      </c>
      <c r="K28" s="530">
        <f t="shared" si="22"/>
        <v>10.947767842885201</v>
      </c>
      <c r="L28" s="531">
        <f t="shared" si="22"/>
        <v>0.12247841314490589</v>
      </c>
      <c r="M28" s="531">
        <f t="shared" si="22"/>
        <v>7.8514663244355469E-4</v>
      </c>
      <c r="N28" s="532">
        <f t="shared" si="22"/>
        <v>0</v>
      </c>
      <c r="O28" s="553">
        <f t="shared" si="22"/>
        <v>0</v>
      </c>
      <c r="P28" s="554">
        <f t="shared" si="22"/>
        <v>5.4984006345467532E-2</v>
      </c>
    </row>
    <row r="29" spans="2:16" s="1" customFormat="1" x14ac:dyDescent="0.25">
      <c r="B29" s="555" t="s">
        <v>282</v>
      </c>
      <c r="C29" s="556" t="s">
        <v>602</v>
      </c>
      <c r="D29" s="537">
        <f t="shared" si="1"/>
        <v>0</v>
      </c>
      <c r="E29" s="538">
        <f>SUM(E30:E32)</f>
        <v>0</v>
      </c>
      <c r="F29" s="539">
        <f t="shared" si="2"/>
        <v>0</v>
      </c>
      <c r="G29" s="540">
        <f>SUM(G30:G32)</f>
        <v>0</v>
      </c>
      <c r="H29" s="541">
        <f>SUM(H30:H32)</f>
        <v>0</v>
      </c>
      <c r="I29" s="542">
        <f>SUM(I30:I32)</f>
        <v>0</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603</v>
      </c>
      <c r="D30" s="537">
        <f t="shared" si="1"/>
        <v>0</v>
      </c>
      <c r="E30" s="559">
        <f t="shared" ref="E30:E32" si="24">SUM(E53,E76,E115)</f>
        <v>0</v>
      </c>
      <c r="F30" s="539">
        <f t="shared" si="2"/>
        <v>0</v>
      </c>
      <c r="G30" s="530">
        <f t="shared" ref="G30:I32" si="25">SUM(G53,G76,G115)</f>
        <v>0</v>
      </c>
      <c r="H30" s="531">
        <f t="shared" si="25"/>
        <v>0</v>
      </c>
      <c r="I30" s="531">
        <f t="shared" si="25"/>
        <v>0</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5124.91986</v>
      </c>
      <c r="E33" s="492">
        <f t="shared" ref="E33:P33" si="27">E34+E38+E43+E46+E49+E52</f>
        <v>3.1648800000000001</v>
      </c>
      <c r="F33" s="493">
        <f t="shared" si="27"/>
        <v>1737.0494800000004</v>
      </c>
      <c r="G33" s="494">
        <f t="shared" si="27"/>
        <v>56.573490000000007</v>
      </c>
      <c r="H33" s="495">
        <f t="shared" si="27"/>
        <v>108.4123</v>
      </c>
      <c r="I33" s="496">
        <f t="shared" si="27"/>
        <v>1572.0636900000002</v>
      </c>
      <c r="J33" s="493">
        <f t="shared" si="27"/>
        <v>3376.9542699999997</v>
      </c>
      <c r="K33" s="494">
        <f t="shared" si="27"/>
        <v>3315.4967499999998</v>
      </c>
      <c r="L33" s="495">
        <f t="shared" si="27"/>
        <v>59.264510000000001</v>
      </c>
      <c r="M33" s="495">
        <f t="shared" si="27"/>
        <v>2.1930100000000001</v>
      </c>
      <c r="N33" s="570">
        <f t="shared" si="27"/>
        <v>0</v>
      </c>
      <c r="O33" s="492">
        <f t="shared" si="27"/>
        <v>0</v>
      </c>
      <c r="P33" s="493">
        <f t="shared" si="27"/>
        <v>7.7512299999999987</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5005.9583400000001</v>
      </c>
      <c r="E38" s="502">
        <f>SUM(E39:E42)</f>
        <v>0</v>
      </c>
      <c r="F38" s="503">
        <f t="shared" si="28"/>
        <v>1657.7114800000002</v>
      </c>
      <c r="G38" s="504">
        <f>SUM(G39:G42)</f>
        <v>14.58817</v>
      </c>
      <c r="H38" s="505">
        <f>SUM(H39:H42)</f>
        <v>107.43048</v>
      </c>
      <c r="I38" s="506">
        <f>SUM(I39:I42)</f>
        <v>1535.6928300000002</v>
      </c>
      <c r="J38" s="503">
        <f t="shared" si="29"/>
        <v>3348.2468599999997</v>
      </c>
      <c r="K38" s="504">
        <f t="shared" ref="K38:P38" si="31">SUM(K39:K42)</f>
        <v>3300.8211499999998</v>
      </c>
      <c r="L38" s="505">
        <f t="shared" si="31"/>
        <v>47.425710000000002</v>
      </c>
      <c r="M38" s="507">
        <f t="shared" si="31"/>
        <v>0</v>
      </c>
      <c r="N38" s="502">
        <f t="shared" si="31"/>
        <v>0</v>
      </c>
      <c r="O38" s="508">
        <f t="shared" si="31"/>
        <v>0</v>
      </c>
      <c r="P38" s="503">
        <f t="shared" si="31"/>
        <v>0</v>
      </c>
    </row>
    <row r="39" spans="2:16" s="1" customFormat="1" x14ac:dyDescent="0.25">
      <c r="B39" s="509" t="s">
        <v>143</v>
      </c>
      <c r="C39" s="510" t="s">
        <v>17</v>
      </c>
      <c r="D39" s="501">
        <f t="shared" si="1"/>
        <v>84.622430000000008</v>
      </c>
      <c r="E39" s="572">
        <v>0</v>
      </c>
      <c r="F39" s="503">
        <f t="shared" si="28"/>
        <v>84.622430000000008</v>
      </c>
      <c r="G39" s="309">
        <v>1.9670999999999998</v>
      </c>
      <c r="H39" s="310">
        <v>82.655330000000006</v>
      </c>
      <c r="I39" s="573">
        <v>0</v>
      </c>
      <c r="J39" s="503">
        <f t="shared" si="29"/>
        <v>0</v>
      </c>
      <c r="K39" s="309">
        <v>0</v>
      </c>
      <c r="L39" s="310">
        <v>0</v>
      </c>
      <c r="M39" s="311">
        <v>0</v>
      </c>
      <c r="N39" s="572">
        <v>0</v>
      </c>
      <c r="O39" s="574">
        <v>0</v>
      </c>
      <c r="P39" s="575">
        <v>0</v>
      </c>
    </row>
    <row r="40" spans="2:16" s="1" customFormat="1" x14ac:dyDescent="0.25">
      <c r="B40" s="509" t="s">
        <v>145</v>
      </c>
      <c r="C40" s="510" t="s">
        <v>597</v>
      </c>
      <c r="D40" s="501">
        <f t="shared" si="1"/>
        <v>4.5657999999999994</v>
      </c>
      <c r="E40" s="572">
        <v>0</v>
      </c>
      <c r="F40" s="503">
        <f t="shared" si="28"/>
        <v>3.6210699999999996</v>
      </c>
      <c r="G40" s="309">
        <v>3.6210699999999996</v>
      </c>
      <c r="H40" s="310">
        <v>0</v>
      </c>
      <c r="I40" s="573">
        <v>0</v>
      </c>
      <c r="J40" s="503">
        <f t="shared" si="29"/>
        <v>0.94473000000000007</v>
      </c>
      <c r="K40" s="309">
        <v>0.94473000000000007</v>
      </c>
      <c r="L40" s="310">
        <v>0</v>
      </c>
      <c r="M40" s="311">
        <v>0</v>
      </c>
      <c r="N40" s="572">
        <v>0</v>
      </c>
      <c r="O40" s="574">
        <v>0</v>
      </c>
      <c r="P40" s="575">
        <v>0</v>
      </c>
    </row>
    <row r="41" spans="2:16" s="1" customFormat="1" x14ac:dyDescent="0.25">
      <c r="B41" s="509" t="s">
        <v>608</v>
      </c>
      <c r="C41" s="510" t="s">
        <v>23</v>
      </c>
      <c r="D41" s="501">
        <f t="shared" si="1"/>
        <v>4795.8889600000002</v>
      </c>
      <c r="E41" s="572">
        <v>0</v>
      </c>
      <c r="F41" s="503">
        <f t="shared" si="28"/>
        <v>1496.0125400000002</v>
      </c>
      <c r="G41" s="309">
        <v>0</v>
      </c>
      <c r="H41" s="310">
        <v>0</v>
      </c>
      <c r="I41" s="573">
        <v>1496.0125400000002</v>
      </c>
      <c r="J41" s="503">
        <f t="shared" si="29"/>
        <v>3299.8764199999996</v>
      </c>
      <c r="K41" s="309">
        <v>3299.8764199999996</v>
      </c>
      <c r="L41" s="310">
        <v>0</v>
      </c>
      <c r="M41" s="311">
        <v>0</v>
      </c>
      <c r="N41" s="572">
        <v>0</v>
      </c>
      <c r="O41" s="574">
        <v>0</v>
      </c>
      <c r="P41" s="575">
        <v>0</v>
      </c>
    </row>
    <row r="42" spans="2:16" s="1" customFormat="1" ht="38.25" x14ac:dyDescent="0.25">
      <c r="B42" s="509" t="s">
        <v>609</v>
      </c>
      <c r="C42" s="510" t="s">
        <v>599</v>
      </c>
      <c r="D42" s="501">
        <f t="shared" si="1"/>
        <v>120.88114999999999</v>
      </c>
      <c r="E42" s="572">
        <v>0</v>
      </c>
      <c r="F42" s="503">
        <f t="shared" si="28"/>
        <v>73.455439999999996</v>
      </c>
      <c r="G42" s="309">
        <v>9</v>
      </c>
      <c r="H42" s="310">
        <v>24.77515</v>
      </c>
      <c r="I42" s="573">
        <v>39.680289999999999</v>
      </c>
      <c r="J42" s="503">
        <f t="shared" si="29"/>
        <v>47.425710000000002</v>
      </c>
      <c r="K42" s="309">
        <v>0</v>
      </c>
      <c r="L42" s="310">
        <v>47.425710000000002</v>
      </c>
      <c r="M42" s="311">
        <v>0</v>
      </c>
      <c r="N42" s="572">
        <v>0</v>
      </c>
      <c r="O42" s="574">
        <v>0</v>
      </c>
      <c r="P42" s="575">
        <v>0</v>
      </c>
    </row>
    <row r="43" spans="2:16" s="1" customFormat="1" x14ac:dyDescent="0.25">
      <c r="B43" s="499" t="s">
        <v>302</v>
      </c>
      <c r="C43" s="524" t="s">
        <v>27</v>
      </c>
      <c r="D43" s="501">
        <f t="shared" si="1"/>
        <v>64.020430000000005</v>
      </c>
      <c r="E43" s="502">
        <f>SUM(E44:E45)</f>
        <v>0</v>
      </c>
      <c r="F43" s="503">
        <f t="shared" si="28"/>
        <v>48.67127</v>
      </c>
      <c r="G43" s="504">
        <f>SUM(G44:G45)</f>
        <v>17.28903</v>
      </c>
      <c r="H43" s="505">
        <f>SUM(H44:H45)</f>
        <v>0.98182000000000003</v>
      </c>
      <c r="I43" s="506">
        <f>SUM(I44:I45)</f>
        <v>30.40042</v>
      </c>
      <c r="J43" s="503">
        <f t="shared" si="29"/>
        <v>9.6643799999999995</v>
      </c>
      <c r="K43" s="504">
        <f t="shared" ref="K43:P43" si="32">SUM(K44:K45)</f>
        <v>2.45235</v>
      </c>
      <c r="L43" s="505">
        <f t="shared" si="32"/>
        <v>6.24003</v>
      </c>
      <c r="M43" s="507">
        <f t="shared" si="32"/>
        <v>0.97199999999999998</v>
      </c>
      <c r="N43" s="502">
        <f t="shared" si="32"/>
        <v>0</v>
      </c>
      <c r="O43" s="508">
        <f t="shared" si="32"/>
        <v>0</v>
      </c>
      <c r="P43" s="503">
        <f t="shared" si="32"/>
        <v>5.6847799999999991</v>
      </c>
    </row>
    <row r="44" spans="2:16" s="1" customFormat="1" ht="51.75" x14ac:dyDescent="0.25">
      <c r="B44" s="509" t="s">
        <v>304</v>
      </c>
      <c r="C44" s="525" t="s">
        <v>29</v>
      </c>
      <c r="D44" s="501">
        <f t="shared" si="1"/>
        <v>61.053189999999994</v>
      </c>
      <c r="E44" s="572">
        <v>0</v>
      </c>
      <c r="F44" s="503">
        <f t="shared" si="28"/>
        <v>48.67127</v>
      </c>
      <c r="G44" s="309">
        <v>17.28903</v>
      </c>
      <c r="H44" s="310">
        <v>0.98182000000000003</v>
      </c>
      <c r="I44" s="573">
        <v>30.40042</v>
      </c>
      <c r="J44" s="503">
        <f t="shared" si="29"/>
        <v>6.6971400000000001</v>
      </c>
      <c r="K44" s="309">
        <v>0.45711000000000002</v>
      </c>
      <c r="L44" s="310">
        <v>6.24003</v>
      </c>
      <c r="M44" s="311">
        <v>0</v>
      </c>
      <c r="N44" s="572">
        <v>0</v>
      </c>
      <c r="O44" s="574">
        <v>0</v>
      </c>
      <c r="P44" s="575">
        <v>5.6847799999999991</v>
      </c>
    </row>
    <row r="45" spans="2:16" s="1" customFormat="1" x14ac:dyDescent="0.25">
      <c r="B45" s="509" t="s">
        <v>305</v>
      </c>
      <c r="C45" s="525" t="s">
        <v>31</v>
      </c>
      <c r="D45" s="501">
        <f t="shared" si="1"/>
        <v>2.9672399999999999</v>
      </c>
      <c r="E45" s="572">
        <v>0</v>
      </c>
      <c r="F45" s="503">
        <f t="shared" si="28"/>
        <v>0</v>
      </c>
      <c r="G45" s="309">
        <v>0</v>
      </c>
      <c r="H45" s="310">
        <v>0</v>
      </c>
      <c r="I45" s="573">
        <v>0</v>
      </c>
      <c r="J45" s="503">
        <f t="shared" si="29"/>
        <v>2.9672399999999999</v>
      </c>
      <c r="K45" s="309">
        <v>1.9952399999999999</v>
      </c>
      <c r="L45" s="310">
        <v>0</v>
      </c>
      <c r="M45" s="311">
        <v>0.97199999999999998</v>
      </c>
      <c r="N45" s="572">
        <v>0</v>
      </c>
      <c r="O45" s="574">
        <v>0</v>
      </c>
      <c r="P45" s="575">
        <v>0</v>
      </c>
    </row>
    <row r="46" spans="2:16" s="1" customFormat="1" x14ac:dyDescent="0.25">
      <c r="B46" s="499" t="s">
        <v>307</v>
      </c>
      <c r="C46" s="524" t="s">
        <v>33</v>
      </c>
      <c r="D46" s="501">
        <f t="shared" si="1"/>
        <v>41.558050000000009</v>
      </c>
      <c r="E46" s="502">
        <f>SUM(E47:E48)</f>
        <v>0.87202000000000002</v>
      </c>
      <c r="F46" s="503">
        <f t="shared" si="28"/>
        <v>29.653060000000004</v>
      </c>
      <c r="G46" s="504">
        <f>SUM(G47:G48)</f>
        <v>24.696290000000005</v>
      </c>
      <c r="H46" s="505">
        <f>SUM(H47:H48)</f>
        <v>0</v>
      </c>
      <c r="I46" s="506">
        <f>SUM(I47:I48)</f>
        <v>4.9567700000000006</v>
      </c>
      <c r="J46" s="503">
        <f t="shared" si="29"/>
        <v>8.9665199999999992</v>
      </c>
      <c r="K46" s="504">
        <f t="shared" ref="K46:P46" si="33">SUM(K47:K48)</f>
        <v>2.1467399999999999</v>
      </c>
      <c r="L46" s="505">
        <f t="shared" si="33"/>
        <v>5.59877</v>
      </c>
      <c r="M46" s="507">
        <f t="shared" si="33"/>
        <v>1.2210099999999999</v>
      </c>
      <c r="N46" s="502">
        <f t="shared" si="33"/>
        <v>0</v>
      </c>
      <c r="O46" s="508">
        <f t="shared" si="33"/>
        <v>0</v>
      </c>
      <c r="P46" s="503">
        <f t="shared" si="33"/>
        <v>2.0664499999999997</v>
      </c>
    </row>
    <row r="47" spans="2:16" s="1" customFormat="1" x14ac:dyDescent="0.25">
      <c r="B47" s="509" t="s">
        <v>308</v>
      </c>
      <c r="C47" s="525" t="s">
        <v>600</v>
      </c>
      <c r="D47" s="501">
        <f t="shared" si="1"/>
        <v>3.4530700000000003</v>
      </c>
      <c r="E47" s="576">
        <v>0.68708000000000002</v>
      </c>
      <c r="F47" s="527">
        <f t="shared" si="28"/>
        <v>2.7659900000000004</v>
      </c>
      <c r="G47" s="577">
        <v>1.1299999999999999</v>
      </c>
      <c r="H47" s="578">
        <v>0</v>
      </c>
      <c r="I47" s="579">
        <v>1.6359900000000005</v>
      </c>
      <c r="J47" s="527">
        <f t="shared" si="29"/>
        <v>0</v>
      </c>
      <c r="K47" s="577">
        <v>0</v>
      </c>
      <c r="L47" s="578">
        <v>0</v>
      </c>
      <c r="M47" s="580">
        <v>0</v>
      </c>
      <c r="N47" s="576">
        <v>0</v>
      </c>
      <c r="O47" s="574">
        <v>0</v>
      </c>
      <c r="P47" s="575">
        <v>0</v>
      </c>
    </row>
    <row r="48" spans="2:16" s="1" customFormat="1" ht="26.25" x14ac:dyDescent="0.25">
      <c r="B48" s="526" t="s">
        <v>308</v>
      </c>
      <c r="C48" s="581" t="s">
        <v>601</v>
      </c>
      <c r="D48" s="501">
        <f t="shared" si="1"/>
        <v>38.104980000000012</v>
      </c>
      <c r="E48" s="576">
        <v>0.18493999999999999</v>
      </c>
      <c r="F48" s="527">
        <f t="shared" si="28"/>
        <v>26.887070000000005</v>
      </c>
      <c r="G48" s="577">
        <v>23.566290000000006</v>
      </c>
      <c r="H48" s="578">
        <v>0</v>
      </c>
      <c r="I48" s="579">
        <v>3.3207799999999996</v>
      </c>
      <c r="J48" s="527">
        <f t="shared" si="29"/>
        <v>8.9665199999999992</v>
      </c>
      <c r="K48" s="577">
        <v>2.1467399999999999</v>
      </c>
      <c r="L48" s="578">
        <v>5.59877</v>
      </c>
      <c r="M48" s="580">
        <v>1.2210099999999999</v>
      </c>
      <c r="N48" s="576">
        <v>0</v>
      </c>
      <c r="O48" s="574">
        <v>0</v>
      </c>
      <c r="P48" s="575">
        <v>2.0664499999999997</v>
      </c>
    </row>
    <row r="49" spans="2:17" s="1" customFormat="1" x14ac:dyDescent="0.25">
      <c r="B49" s="499" t="s">
        <v>312</v>
      </c>
      <c r="C49" s="536" t="s">
        <v>39</v>
      </c>
      <c r="D49" s="537">
        <f t="shared" si="1"/>
        <v>13.383040000000001</v>
      </c>
      <c r="E49" s="538">
        <f>SUM(E50:E51)</f>
        <v>2.2928600000000001</v>
      </c>
      <c r="F49" s="539">
        <f t="shared" si="28"/>
        <v>1.0136699999999998</v>
      </c>
      <c r="G49" s="540">
        <f>SUM(G50:G51)</f>
        <v>0</v>
      </c>
      <c r="H49" s="541">
        <f>SUM(H50:H51)</f>
        <v>0</v>
      </c>
      <c r="I49" s="542">
        <f>SUM(I50:I51)</f>
        <v>1.0136699999999998</v>
      </c>
      <c r="J49" s="539">
        <f t="shared" si="29"/>
        <v>10.076510000000001</v>
      </c>
      <c r="K49" s="540">
        <f t="shared" ref="K49:P49" si="34">SUM(K50:K51)</f>
        <v>10.076510000000001</v>
      </c>
      <c r="L49" s="541">
        <f t="shared" si="34"/>
        <v>0</v>
      </c>
      <c r="M49" s="582">
        <f t="shared" si="34"/>
        <v>0</v>
      </c>
      <c r="N49" s="538">
        <f t="shared" si="34"/>
        <v>0</v>
      </c>
      <c r="O49" s="583">
        <f t="shared" si="34"/>
        <v>0</v>
      </c>
      <c r="P49" s="539">
        <f t="shared" si="34"/>
        <v>0</v>
      </c>
    </row>
    <row r="50" spans="2:17" s="1" customFormat="1" x14ac:dyDescent="0.25">
      <c r="B50" s="544" t="s">
        <v>314</v>
      </c>
      <c r="C50" s="545" t="s">
        <v>41</v>
      </c>
      <c r="D50" s="546">
        <f t="shared" si="1"/>
        <v>2.2928600000000001</v>
      </c>
      <c r="E50" s="584">
        <v>2.2928600000000001</v>
      </c>
      <c r="F50" s="547">
        <f t="shared" si="28"/>
        <v>0</v>
      </c>
      <c r="G50" s="585">
        <v>0</v>
      </c>
      <c r="H50" s="586">
        <v>0</v>
      </c>
      <c r="I50" s="587">
        <v>0</v>
      </c>
      <c r="J50" s="547">
        <f t="shared" si="29"/>
        <v>0</v>
      </c>
      <c r="K50" s="585">
        <v>0</v>
      </c>
      <c r="L50" s="586">
        <v>0</v>
      </c>
      <c r="M50" s="588">
        <v>0</v>
      </c>
      <c r="N50" s="584">
        <v>0</v>
      </c>
      <c r="O50" s="574">
        <v>0</v>
      </c>
      <c r="P50" s="575">
        <v>0</v>
      </c>
    </row>
    <row r="51" spans="2:17" s="1" customFormat="1" ht="26.25" x14ac:dyDescent="0.25">
      <c r="B51" s="544" t="s">
        <v>316</v>
      </c>
      <c r="C51" s="552" t="s">
        <v>43</v>
      </c>
      <c r="D51" s="537">
        <f t="shared" si="1"/>
        <v>11.09018</v>
      </c>
      <c r="E51" s="589">
        <v>0</v>
      </c>
      <c r="F51" s="539">
        <f t="shared" si="28"/>
        <v>1.0136699999999998</v>
      </c>
      <c r="G51" s="590">
        <v>0</v>
      </c>
      <c r="H51" s="591">
        <v>0</v>
      </c>
      <c r="I51" s="592">
        <v>1.0136699999999998</v>
      </c>
      <c r="J51" s="539">
        <f t="shared" si="29"/>
        <v>10.076510000000001</v>
      </c>
      <c r="K51" s="590">
        <v>10.076510000000001</v>
      </c>
      <c r="L51" s="591">
        <v>0</v>
      </c>
      <c r="M51" s="593">
        <v>0</v>
      </c>
      <c r="N51" s="589">
        <v>0</v>
      </c>
      <c r="O51" s="574">
        <v>0</v>
      </c>
      <c r="P51" s="575">
        <v>0</v>
      </c>
    </row>
    <row r="52" spans="2:17" s="1" customFormat="1" x14ac:dyDescent="0.25">
      <c r="B52" s="555" t="s">
        <v>318</v>
      </c>
      <c r="C52" s="556" t="s">
        <v>602</v>
      </c>
      <c r="D52" s="537">
        <f t="shared" si="1"/>
        <v>0</v>
      </c>
      <c r="E52" s="538">
        <f>SUM(E53:E55)</f>
        <v>0</v>
      </c>
      <c r="F52" s="539">
        <f t="shared" si="28"/>
        <v>0</v>
      </c>
      <c r="G52" s="540">
        <f>SUM(G53:G55)</f>
        <v>0</v>
      </c>
      <c r="H52" s="541">
        <f>SUM(H53:H55)</f>
        <v>0</v>
      </c>
      <c r="I52" s="542">
        <f>SUM(I53:I55)</f>
        <v>0</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603</v>
      </c>
      <c r="D53" s="537">
        <f t="shared" si="1"/>
        <v>0</v>
      </c>
      <c r="E53" s="589">
        <v>0</v>
      </c>
      <c r="F53" s="539">
        <f t="shared" si="28"/>
        <v>0</v>
      </c>
      <c r="G53" s="590">
        <v>0</v>
      </c>
      <c r="H53" s="591">
        <v>0</v>
      </c>
      <c r="I53" s="592">
        <v>0</v>
      </c>
      <c r="J53" s="539">
        <f t="shared" si="29"/>
        <v>0</v>
      </c>
      <c r="K53" s="590">
        <v>0</v>
      </c>
      <c r="L53" s="591">
        <v>0</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v>0</v>
      </c>
      <c r="M55" s="598">
        <v>0</v>
      </c>
      <c r="N55" s="599">
        <v>0</v>
      </c>
      <c r="O55" s="600">
        <v>0</v>
      </c>
      <c r="P55" s="601">
        <v>0</v>
      </c>
    </row>
    <row r="56" spans="2:17" s="1" customFormat="1" ht="16.5" thickTop="1" thickBot="1" x14ac:dyDescent="0.3">
      <c r="B56" s="489" t="s">
        <v>59</v>
      </c>
      <c r="C56" s="490" t="s">
        <v>612</v>
      </c>
      <c r="D56" s="491">
        <f t="shared" ref="D56:P56" si="36">D57+D61+D66+D69+D72+D75</f>
        <v>32.882240000000003</v>
      </c>
      <c r="E56" s="492">
        <f t="shared" si="36"/>
        <v>1.887573172498954E-2</v>
      </c>
      <c r="F56" s="493">
        <f t="shared" si="36"/>
        <v>11.294558805587659</v>
      </c>
      <c r="G56" s="494">
        <f t="shared" si="36"/>
        <v>0.35074815636257911</v>
      </c>
      <c r="H56" s="495">
        <f t="shared" si="36"/>
        <v>1.1632241378921206</v>
      </c>
      <c r="I56" s="496">
        <f t="shared" si="36"/>
        <v>9.7805865113329595</v>
      </c>
      <c r="J56" s="493">
        <f t="shared" si="36"/>
        <v>20.438807154679118</v>
      </c>
      <c r="K56" s="494">
        <f t="shared" si="36"/>
        <v>17.905568432270897</v>
      </c>
      <c r="L56" s="495">
        <f t="shared" si="36"/>
        <v>2.5171028599062186</v>
      </c>
      <c r="M56" s="497">
        <f t="shared" si="36"/>
        <v>1.6135862502000466E-2</v>
      </c>
      <c r="N56" s="492">
        <f t="shared" si="36"/>
        <v>0</v>
      </c>
      <c r="O56" s="498">
        <f t="shared" si="36"/>
        <v>0</v>
      </c>
      <c r="P56" s="493">
        <f t="shared" si="36"/>
        <v>1.1299983080082414</v>
      </c>
      <c r="Q56" s="602"/>
    </row>
    <row r="57" spans="2:17" s="1" customFormat="1" ht="15.75" thickTop="1" x14ac:dyDescent="0.25">
      <c r="B57" s="499" t="s">
        <v>150</v>
      </c>
      <c r="C57" s="500" t="s">
        <v>8</v>
      </c>
      <c r="D57" s="501">
        <f>SUM(D58:D60)</f>
        <v>0.35949999999999999</v>
      </c>
      <c r="E57" s="502">
        <f>SUM(E58:E60)</f>
        <v>2.0636749671353711E-4</v>
      </c>
      <c r="F57" s="503">
        <f t="shared" ref="F57:F78" si="37">SUM(G57:I57)</f>
        <v>0.12348288591679775</v>
      </c>
      <c r="G57" s="504">
        <f>SUM(G58:G60)</f>
        <v>3.8347132741670636E-3</v>
      </c>
      <c r="H57" s="505">
        <f>SUM(H58:H60)</f>
        <v>1.2717475377961397E-2</v>
      </c>
      <c r="I57" s="506">
        <f>SUM(I58:I60)</f>
        <v>0.10693069726466929</v>
      </c>
      <c r="J57" s="503">
        <f t="shared" ref="J57:J78" si="38">SUM(K57:M57)</f>
        <v>0.22345652766074151</v>
      </c>
      <c r="K57" s="504">
        <f t="shared" ref="K57:P57" si="39">SUM(K58:K60)</f>
        <v>0.19576074657326831</v>
      </c>
      <c r="L57" s="505">
        <f t="shared" si="39"/>
        <v>2.7519368453496038E-2</v>
      </c>
      <c r="M57" s="507">
        <f t="shared" si="39"/>
        <v>1.7641263397716114E-4</v>
      </c>
      <c r="N57" s="502">
        <f t="shared" si="39"/>
        <v>0</v>
      </c>
      <c r="O57" s="508">
        <f t="shared" si="39"/>
        <v>0</v>
      </c>
      <c r="P57" s="503">
        <f t="shared" si="39"/>
        <v>1.2354218925747236E-2</v>
      </c>
    </row>
    <row r="58" spans="2:17" s="1" customFormat="1" x14ac:dyDescent="0.25">
      <c r="B58" s="509" t="s">
        <v>410</v>
      </c>
      <c r="C58" s="510" t="s">
        <v>10</v>
      </c>
      <c r="D58" s="603">
        <v>0.35949999999999999</v>
      </c>
      <c r="E58" s="604">
        <f>IFERROR($D58*E80/100, 0)</f>
        <v>2.0636749671353711E-4</v>
      </c>
      <c r="F58" s="519">
        <f t="shared" si="37"/>
        <v>0.12348288591679775</v>
      </c>
      <c r="G58" s="512">
        <f t="shared" ref="G58:I60" si="40">IFERROR($D58*G80/100, 0)</f>
        <v>3.8347132741670636E-3</v>
      </c>
      <c r="H58" s="513">
        <f t="shared" si="40"/>
        <v>1.2717475377961397E-2</v>
      </c>
      <c r="I58" s="605">
        <f t="shared" si="40"/>
        <v>0.10693069726466929</v>
      </c>
      <c r="J58" s="519">
        <f t="shared" si="38"/>
        <v>0.22345652766074151</v>
      </c>
      <c r="K58" s="512">
        <f t="shared" ref="K58:P60" si="41">IFERROR($D58*K80/100, 0)</f>
        <v>0.19576074657326831</v>
      </c>
      <c r="L58" s="513">
        <f t="shared" si="41"/>
        <v>2.7519368453496038E-2</v>
      </c>
      <c r="M58" s="606">
        <f t="shared" si="41"/>
        <v>1.7641263397716114E-4</v>
      </c>
      <c r="N58" s="604">
        <f t="shared" si="41"/>
        <v>0</v>
      </c>
      <c r="O58" s="607">
        <f t="shared" si="41"/>
        <v>0</v>
      </c>
      <c r="P58" s="519">
        <f t="shared" si="41"/>
        <v>1.2354218925747236E-2</v>
      </c>
    </row>
    <row r="59" spans="2:17" s="1" customFormat="1" x14ac:dyDescent="0.25">
      <c r="B59" s="509" t="s">
        <v>411</v>
      </c>
      <c r="C59" s="510" t="s">
        <v>11</v>
      </c>
      <c r="D59" s="603">
        <v>0</v>
      </c>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19.331610000000001</v>
      </c>
      <c r="E61" s="502">
        <f>SUM(E62:E65)</f>
        <v>1.1097123680507319E-2</v>
      </c>
      <c r="F61" s="503">
        <f t="shared" si="37"/>
        <v>6.6401195889235778</v>
      </c>
      <c r="G61" s="504">
        <f>SUM(G62:G65)</f>
        <v>0.20620634625318704</v>
      </c>
      <c r="H61" s="505">
        <f>SUM(H62:H65)</f>
        <v>0.68386446228470743</v>
      </c>
      <c r="I61" s="506">
        <f>SUM(I62:I65)</f>
        <v>5.7500487803856837</v>
      </c>
      <c r="J61" s="503">
        <f t="shared" si="38"/>
        <v>12.016062433078353</v>
      </c>
      <c r="K61" s="504">
        <f t="shared" ref="K61:P61" si="42">SUM(K62:K65)</f>
        <v>10.526760517561224</v>
      </c>
      <c r="L61" s="505">
        <f t="shared" si="42"/>
        <v>1.4798155727101214</v>
      </c>
      <c r="M61" s="507">
        <f t="shared" si="42"/>
        <v>9.4863428070075893E-3</v>
      </c>
      <c r="N61" s="502">
        <f t="shared" si="42"/>
        <v>0</v>
      </c>
      <c r="O61" s="508">
        <f t="shared" si="42"/>
        <v>0</v>
      </c>
      <c r="P61" s="503">
        <f t="shared" si="42"/>
        <v>0.66433085431756467</v>
      </c>
    </row>
    <row r="62" spans="2:17" s="1" customFormat="1" x14ac:dyDescent="0.25">
      <c r="B62" s="509" t="s">
        <v>154</v>
      </c>
      <c r="C62" s="510" t="s">
        <v>17</v>
      </c>
      <c r="D62" s="603">
        <v>13.904579999999999</v>
      </c>
      <c r="E62" s="604">
        <f>IFERROR($D62*E83/100, 0)</f>
        <v>7.9817896173939185E-3</v>
      </c>
      <c r="F62" s="519">
        <f t="shared" si="37"/>
        <v>4.776015760392176</v>
      </c>
      <c r="G62" s="512">
        <f t="shared" ref="G62:I65" si="43">IFERROR($D62*G83/100, 0)</f>
        <v>0.14831732266402745</v>
      </c>
      <c r="H62" s="513">
        <f t="shared" si="43"/>
        <v>0.49188081722084698</v>
      </c>
      <c r="I62" s="605">
        <f t="shared" si="43"/>
        <v>4.1358176205073018</v>
      </c>
      <c r="J62" s="519">
        <f t="shared" si="38"/>
        <v>8.6427515031460196</v>
      </c>
      <c r="K62" s="512">
        <f t="shared" ref="K62:P65" si="44">IFERROR($D62*K83/100, 0)</f>
        <v>7.5715464856404324</v>
      </c>
      <c r="L62" s="513">
        <f t="shared" si="44"/>
        <v>1.0643818086539971</v>
      </c>
      <c r="M62" s="606">
        <f t="shared" si="44"/>
        <v>6.823208851588749E-3</v>
      </c>
      <c r="N62" s="604">
        <f t="shared" si="44"/>
        <v>0</v>
      </c>
      <c r="O62" s="607">
        <f t="shared" si="44"/>
        <v>0</v>
      </c>
      <c r="P62" s="519">
        <f t="shared" si="44"/>
        <v>0.47783094684441302</v>
      </c>
    </row>
    <row r="63" spans="2:17" s="1" customFormat="1" x14ac:dyDescent="0.25">
      <c r="B63" s="509" t="s">
        <v>156</v>
      </c>
      <c r="C63" s="510" t="s">
        <v>597</v>
      </c>
      <c r="D63" s="603">
        <v>3.20661</v>
      </c>
      <c r="E63" s="604">
        <f>IFERROR($D63*E84/100, 0)</f>
        <v>1.8407234454425458E-3</v>
      </c>
      <c r="F63" s="519">
        <f t="shared" si="37"/>
        <v>1.1014226893175598</v>
      </c>
      <c r="G63" s="512">
        <f t="shared" si="43"/>
        <v>3.4204255722049645E-2</v>
      </c>
      <c r="H63" s="513">
        <f t="shared" si="43"/>
        <v>0.11343528156251681</v>
      </c>
      <c r="I63" s="605">
        <f t="shared" si="43"/>
        <v>0.95378315203299346</v>
      </c>
      <c r="J63" s="519">
        <f t="shared" si="38"/>
        <v>1.9931514218698483</v>
      </c>
      <c r="K63" s="512">
        <f t="shared" si="44"/>
        <v>1.7461150697338192</v>
      </c>
      <c r="L63" s="513">
        <f t="shared" si="44"/>
        <v>0.24546281523411664</v>
      </c>
      <c r="M63" s="606">
        <f t="shared" si="44"/>
        <v>1.5735369019123915E-3</v>
      </c>
      <c r="N63" s="604">
        <f t="shared" si="44"/>
        <v>0</v>
      </c>
      <c r="O63" s="607">
        <f t="shared" si="44"/>
        <v>0</v>
      </c>
      <c r="P63" s="519">
        <f t="shared" si="44"/>
        <v>0.11019516536714975</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2.2204200000000003</v>
      </c>
      <c r="E65" s="604">
        <f>IFERROR($D65*E86/100, 0)</f>
        <v>1.2746106176708544E-3</v>
      </c>
      <c r="F65" s="519">
        <f t="shared" si="37"/>
        <v>0.76268113921384173</v>
      </c>
      <c r="G65" s="512">
        <f t="shared" si="43"/>
        <v>2.3684767867109966E-2</v>
      </c>
      <c r="H65" s="513">
        <f t="shared" si="43"/>
        <v>7.8548363501343671E-2</v>
      </c>
      <c r="I65" s="605">
        <f t="shared" si="43"/>
        <v>0.66044800784538804</v>
      </c>
      <c r="J65" s="519">
        <f t="shared" si="38"/>
        <v>1.3801595080624862</v>
      </c>
      <c r="K65" s="512">
        <f t="shared" si="44"/>
        <v>1.2090989621869723</v>
      </c>
      <c r="L65" s="513">
        <f t="shared" si="44"/>
        <v>0.16997094882200747</v>
      </c>
      <c r="M65" s="606">
        <f t="shared" si="44"/>
        <v>1.0895970535064485E-3</v>
      </c>
      <c r="N65" s="604">
        <f t="shared" si="44"/>
        <v>0</v>
      </c>
      <c r="O65" s="607">
        <f t="shared" si="44"/>
        <v>0</v>
      </c>
      <c r="P65" s="519">
        <f t="shared" si="44"/>
        <v>7.6304742106001897E-2</v>
      </c>
    </row>
    <row r="66" spans="2:16" s="1" customFormat="1" x14ac:dyDescent="0.25">
      <c r="B66" s="499" t="s">
        <v>160</v>
      </c>
      <c r="C66" s="524" t="s">
        <v>27</v>
      </c>
      <c r="D66" s="501">
        <f>D67+D68</f>
        <v>0</v>
      </c>
      <c r="E66" s="502">
        <f>E67+E68</f>
        <v>0</v>
      </c>
      <c r="F66" s="503">
        <f t="shared" si="37"/>
        <v>0</v>
      </c>
      <c r="G66" s="504">
        <f>G67+G68</f>
        <v>0</v>
      </c>
      <c r="H66" s="505">
        <f>H67+H68</f>
        <v>0</v>
      </c>
      <c r="I66" s="506">
        <f>I67+I68</f>
        <v>0</v>
      </c>
      <c r="J66" s="503">
        <f t="shared" si="38"/>
        <v>0</v>
      </c>
      <c r="K66" s="504">
        <f t="shared" ref="K66:P66" si="45">K67+K68</f>
        <v>0</v>
      </c>
      <c r="L66" s="505">
        <f t="shared" si="45"/>
        <v>0</v>
      </c>
      <c r="M66" s="507">
        <f t="shared" si="45"/>
        <v>0</v>
      </c>
      <c r="N66" s="502">
        <f t="shared" si="45"/>
        <v>0</v>
      </c>
      <c r="O66" s="508">
        <f t="shared" si="45"/>
        <v>0</v>
      </c>
      <c r="P66" s="503">
        <f t="shared" si="45"/>
        <v>0</v>
      </c>
    </row>
    <row r="67" spans="2:16" s="1" customFormat="1" ht="51.75" x14ac:dyDescent="0.25">
      <c r="B67" s="509" t="s">
        <v>412</v>
      </c>
      <c r="C67" s="525" t="s">
        <v>29</v>
      </c>
      <c r="D67" s="603">
        <v>0</v>
      </c>
      <c r="E67" s="604">
        <f>IFERROR($D67*E87/100, 0)</f>
        <v>0</v>
      </c>
      <c r="F67" s="519">
        <f t="shared" si="37"/>
        <v>0</v>
      </c>
      <c r="G67" s="512">
        <f t="shared" ref="G67:I68" si="46">IFERROR($D67*G87/100, 0)</f>
        <v>0</v>
      </c>
      <c r="H67" s="513">
        <f t="shared" si="46"/>
        <v>0</v>
      </c>
      <c r="I67" s="605">
        <f t="shared" si="46"/>
        <v>0</v>
      </c>
      <c r="J67" s="519">
        <f t="shared" si="38"/>
        <v>0</v>
      </c>
      <c r="K67" s="512">
        <f t="shared" ref="K67:P68" si="47">IFERROR($D67*K87/100, 0)</f>
        <v>0</v>
      </c>
      <c r="L67" s="513">
        <f t="shared" si="47"/>
        <v>0</v>
      </c>
      <c r="M67" s="606">
        <f t="shared" si="47"/>
        <v>0</v>
      </c>
      <c r="N67" s="604">
        <f t="shared" si="47"/>
        <v>0</v>
      </c>
      <c r="O67" s="607">
        <f t="shared" si="47"/>
        <v>0</v>
      </c>
      <c r="P67" s="519">
        <f t="shared" si="47"/>
        <v>0</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3.92883</v>
      </c>
      <c r="E69" s="502">
        <f>E70+E71</f>
        <v>2.2553068487150096E-3</v>
      </c>
      <c r="F69" s="503">
        <f t="shared" si="37"/>
        <v>1.3494944831056814</v>
      </c>
      <c r="G69" s="504">
        <f>G70+G71</f>
        <v>4.1908029354508443E-2</v>
      </c>
      <c r="H69" s="505">
        <f>H70+H71</f>
        <v>0.13898414127731873</v>
      </c>
      <c r="I69" s="506">
        <f>I70+I71</f>
        <v>1.1686023124738543</v>
      </c>
      <c r="J69" s="503">
        <f t="shared" si="38"/>
        <v>2.4420659515141896</v>
      </c>
      <c r="K69" s="504">
        <f t="shared" ref="K69:P69" si="48">K70+K71</f>
        <v>2.1393899692891623</v>
      </c>
      <c r="L69" s="505">
        <f t="shared" si="48"/>
        <v>0.30074803994756288</v>
      </c>
      <c r="M69" s="507">
        <f t="shared" si="48"/>
        <v>1.9279422774645066E-3</v>
      </c>
      <c r="N69" s="502">
        <f t="shared" si="48"/>
        <v>0</v>
      </c>
      <c r="O69" s="508">
        <f t="shared" si="48"/>
        <v>0</v>
      </c>
      <c r="P69" s="503">
        <f t="shared" si="48"/>
        <v>0.13501425853141449</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3.92883</v>
      </c>
      <c r="E71" s="604">
        <f>IFERROR($D71*E90/100, 0)</f>
        <v>2.2553068487150096E-3</v>
      </c>
      <c r="F71" s="519">
        <f t="shared" si="37"/>
        <v>1.3494944831056814</v>
      </c>
      <c r="G71" s="512">
        <f t="shared" si="49"/>
        <v>4.1908029354508443E-2</v>
      </c>
      <c r="H71" s="513">
        <f t="shared" si="49"/>
        <v>0.13898414127731873</v>
      </c>
      <c r="I71" s="605">
        <f t="shared" si="49"/>
        <v>1.1686023124738543</v>
      </c>
      <c r="J71" s="519">
        <f t="shared" si="38"/>
        <v>2.4420659515141896</v>
      </c>
      <c r="K71" s="512">
        <f t="shared" si="50"/>
        <v>2.1393899692891623</v>
      </c>
      <c r="L71" s="513">
        <f t="shared" si="50"/>
        <v>0.30074803994756288</v>
      </c>
      <c r="M71" s="606">
        <f t="shared" si="50"/>
        <v>1.9279422774645066E-3</v>
      </c>
      <c r="N71" s="604">
        <f t="shared" si="50"/>
        <v>0</v>
      </c>
      <c r="O71" s="607">
        <f t="shared" si="50"/>
        <v>0</v>
      </c>
      <c r="P71" s="519">
        <f t="shared" si="50"/>
        <v>0.13501425853141449</v>
      </c>
    </row>
    <row r="72" spans="2:16" s="1" customFormat="1" x14ac:dyDescent="0.25">
      <c r="B72" s="499" t="s">
        <v>418</v>
      </c>
      <c r="C72" s="536" t="s">
        <v>39</v>
      </c>
      <c r="D72" s="537">
        <f>D73+D74</f>
        <v>9.2622999999999998</v>
      </c>
      <c r="E72" s="538">
        <f>E73+E74</f>
        <v>5.316933699053672E-3</v>
      </c>
      <c r="F72" s="539">
        <f t="shared" si="37"/>
        <v>3.1814618476416014</v>
      </c>
      <c r="G72" s="540">
        <f>G73+G74</f>
        <v>9.8799067480716526E-2</v>
      </c>
      <c r="H72" s="541">
        <f>H73+H74</f>
        <v>0.32765805895213312</v>
      </c>
      <c r="I72" s="542">
        <f>I73+I74</f>
        <v>2.7550047212087518</v>
      </c>
      <c r="J72" s="539">
        <f t="shared" si="38"/>
        <v>5.7572222424258319</v>
      </c>
      <c r="K72" s="540">
        <f t="shared" ref="K72:P72" si="51">K73+K74</f>
        <v>5.0436571988472414</v>
      </c>
      <c r="L72" s="541">
        <f t="shared" si="51"/>
        <v>0.70901987879503858</v>
      </c>
      <c r="M72" s="582">
        <f t="shared" si="51"/>
        <v>4.54516478355121E-3</v>
      </c>
      <c r="N72" s="538">
        <f t="shared" si="51"/>
        <v>0</v>
      </c>
      <c r="O72" s="583">
        <f t="shared" si="51"/>
        <v>0</v>
      </c>
      <c r="P72" s="539">
        <f t="shared" si="51"/>
        <v>0.31829897623351494</v>
      </c>
    </row>
    <row r="73" spans="2:16" s="1" customFormat="1" x14ac:dyDescent="0.25">
      <c r="B73" s="544" t="s">
        <v>616</v>
      </c>
      <c r="C73" s="545" t="s">
        <v>41</v>
      </c>
      <c r="D73" s="608">
        <v>7.6623000000000001</v>
      </c>
      <c r="E73" s="604">
        <f>IFERROR($D73*E91/100, 0)</f>
        <v>4.3984691796053839E-3</v>
      </c>
      <c r="F73" s="519">
        <f t="shared" si="37"/>
        <v>2.6318857211690663</v>
      </c>
      <c r="G73" s="512">
        <f t="shared" ref="G73:I74" si="52">IFERROR($D73*G91/100, 0)</f>
        <v>8.1732193381502893E-2</v>
      </c>
      <c r="H73" s="513">
        <f t="shared" si="52"/>
        <v>0.2710573340432646</v>
      </c>
      <c r="I73" s="605">
        <f t="shared" si="52"/>
        <v>2.2790961937442988</v>
      </c>
      <c r="J73" s="519">
        <f t="shared" si="38"/>
        <v>4.7627008397632826</v>
      </c>
      <c r="K73" s="512">
        <f t="shared" ref="K73:P74" si="53">IFERROR($D73*K91/100, 0)</f>
        <v>4.1723993559620416</v>
      </c>
      <c r="L73" s="513">
        <f t="shared" si="53"/>
        <v>0.58654146565013265</v>
      </c>
      <c r="M73" s="606">
        <f t="shared" si="53"/>
        <v>3.7600181511076554E-3</v>
      </c>
      <c r="N73" s="604">
        <f t="shared" si="53"/>
        <v>0</v>
      </c>
      <c r="O73" s="607">
        <f t="shared" si="53"/>
        <v>0</v>
      </c>
      <c r="P73" s="519">
        <f t="shared" si="53"/>
        <v>0.26331496988804742</v>
      </c>
    </row>
    <row r="74" spans="2:16" s="1" customFormat="1" ht="26.25" x14ac:dyDescent="0.25">
      <c r="B74" s="544" t="s">
        <v>617</v>
      </c>
      <c r="C74" s="552" t="s">
        <v>43</v>
      </c>
      <c r="D74" s="609">
        <v>1.6</v>
      </c>
      <c r="E74" s="604">
        <f>IFERROR($D74*E92/100, 0)</f>
        <v>9.1846451944828768E-4</v>
      </c>
      <c r="F74" s="519">
        <f t="shared" si="37"/>
        <v>0.54957612647253518</v>
      </c>
      <c r="G74" s="512">
        <f t="shared" si="52"/>
        <v>1.7066874099213637E-2</v>
      </c>
      <c r="H74" s="513">
        <f t="shared" si="52"/>
        <v>5.6600724908868534E-2</v>
      </c>
      <c r="I74" s="605">
        <f t="shared" si="52"/>
        <v>0.47590852746445306</v>
      </c>
      <c r="J74" s="519">
        <f t="shared" si="38"/>
        <v>0.99452140266254929</v>
      </c>
      <c r="K74" s="512">
        <f t="shared" si="53"/>
        <v>0.87125784288519981</v>
      </c>
      <c r="L74" s="513">
        <f t="shared" si="53"/>
        <v>0.12247841314490589</v>
      </c>
      <c r="M74" s="606">
        <f t="shared" si="53"/>
        <v>7.8514663244355469E-4</v>
      </c>
      <c r="N74" s="604">
        <f t="shared" si="53"/>
        <v>0</v>
      </c>
      <c r="O74" s="607">
        <f t="shared" si="53"/>
        <v>0</v>
      </c>
      <c r="P74" s="519">
        <f t="shared" si="53"/>
        <v>5.4984006345467532E-2</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603</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v>0</v>
      </c>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100.00000000000003</v>
      </c>
      <c r="E80" s="632">
        <v>5.7404032465517972E-2</v>
      </c>
      <c r="F80" s="633">
        <f t="shared" ref="F80:F95" si="59">SUM(G80:I80)</f>
        <v>34.348507904533449</v>
      </c>
      <c r="G80" s="634">
        <v>1.0666796312008522</v>
      </c>
      <c r="H80" s="635">
        <v>3.537545306804283</v>
      </c>
      <c r="I80" s="636">
        <v>29.744282966528313</v>
      </c>
      <c r="J80" s="633">
        <f t="shared" ref="J80:J95" si="60">SUM(K80:M80)</f>
        <v>62.157587666409327</v>
      </c>
      <c r="K80" s="634">
        <v>54.453615180324988</v>
      </c>
      <c r="L80" s="635">
        <v>7.6549008215566179</v>
      </c>
      <c r="M80" s="637">
        <v>4.9071664527722159E-2</v>
      </c>
      <c r="N80" s="638">
        <v>0</v>
      </c>
      <c r="O80" s="639">
        <v>0</v>
      </c>
      <c r="P80" s="640">
        <v>3.4365003965917205</v>
      </c>
    </row>
    <row r="81" spans="2:17" s="1" customFormat="1" x14ac:dyDescent="0.25">
      <c r="B81" s="641" t="s">
        <v>69</v>
      </c>
      <c r="C81" s="642" t="s">
        <v>621</v>
      </c>
      <c r="D81" s="643">
        <f t="shared" si="58"/>
        <v>100.00000000000003</v>
      </c>
      <c r="E81" s="644">
        <v>5.7404032465517972E-2</v>
      </c>
      <c r="F81" s="645">
        <f t="shared" si="59"/>
        <v>34.348507904533449</v>
      </c>
      <c r="G81" s="646">
        <v>1.0666796312008522</v>
      </c>
      <c r="H81" s="647">
        <v>3.537545306804283</v>
      </c>
      <c r="I81" s="648">
        <v>29.744282966528313</v>
      </c>
      <c r="J81" s="645">
        <f t="shared" si="60"/>
        <v>62.157587666409327</v>
      </c>
      <c r="K81" s="646">
        <v>54.453615180324988</v>
      </c>
      <c r="L81" s="647">
        <v>7.6549008215566179</v>
      </c>
      <c r="M81" s="649">
        <v>4.9071664527722159E-2</v>
      </c>
      <c r="N81" s="650">
        <v>0</v>
      </c>
      <c r="O81" s="651">
        <v>0</v>
      </c>
      <c r="P81" s="652">
        <v>3.4365003965917205</v>
      </c>
    </row>
    <row r="82" spans="2:17" s="1" customFormat="1" x14ac:dyDescent="0.25">
      <c r="B82" s="641" t="s">
        <v>71</v>
      </c>
      <c r="C82" s="642" t="s">
        <v>622</v>
      </c>
      <c r="D82" s="643">
        <f t="shared" si="58"/>
        <v>100.00000000000003</v>
      </c>
      <c r="E82" s="644">
        <v>5.7404032465517972E-2</v>
      </c>
      <c r="F82" s="645">
        <f t="shared" si="59"/>
        <v>34.348507904533449</v>
      </c>
      <c r="G82" s="646">
        <v>1.0666796312008522</v>
      </c>
      <c r="H82" s="647">
        <v>3.537545306804283</v>
      </c>
      <c r="I82" s="648">
        <v>29.744282966528313</v>
      </c>
      <c r="J82" s="645">
        <f t="shared" si="60"/>
        <v>62.157587666409327</v>
      </c>
      <c r="K82" s="646">
        <v>54.453615180324988</v>
      </c>
      <c r="L82" s="647">
        <v>7.6549008215566179</v>
      </c>
      <c r="M82" s="649">
        <v>4.9071664527722159E-2</v>
      </c>
      <c r="N82" s="650">
        <v>0</v>
      </c>
      <c r="O82" s="651">
        <v>0</v>
      </c>
      <c r="P82" s="652">
        <v>3.4365003965917205</v>
      </c>
    </row>
    <row r="83" spans="2:17" s="1" customFormat="1" x14ac:dyDescent="0.25">
      <c r="B83" s="653" t="s">
        <v>73</v>
      </c>
      <c r="C83" s="642" t="s">
        <v>623</v>
      </c>
      <c r="D83" s="643">
        <f t="shared" si="58"/>
        <v>100.00000000000003</v>
      </c>
      <c r="E83" s="644">
        <v>5.7404032465517972E-2</v>
      </c>
      <c r="F83" s="645">
        <f t="shared" si="59"/>
        <v>34.348507904533449</v>
      </c>
      <c r="G83" s="646">
        <v>1.0666796312008522</v>
      </c>
      <c r="H83" s="647">
        <v>3.537545306804283</v>
      </c>
      <c r="I83" s="648">
        <v>29.744282966528313</v>
      </c>
      <c r="J83" s="645">
        <f t="shared" si="60"/>
        <v>62.157587666409327</v>
      </c>
      <c r="K83" s="646">
        <v>54.453615180324988</v>
      </c>
      <c r="L83" s="647">
        <v>7.6549008215566179</v>
      </c>
      <c r="M83" s="649">
        <v>4.9071664527722159E-2</v>
      </c>
      <c r="N83" s="650">
        <v>0</v>
      </c>
      <c r="O83" s="651">
        <v>0</v>
      </c>
      <c r="P83" s="652">
        <v>3.4365003965917205</v>
      </c>
    </row>
    <row r="84" spans="2:17" s="1" customFormat="1" x14ac:dyDescent="0.25">
      <c r="B84" s="641" t="s">
        <v>75</v>
      </c>
      <c r="C84" s="642" t="s">
        <v>624</v>
      </c>
      <c r="D84" s="643">
        <f t="shared" si="58"/>
        <v>100.00000000000003</v>
      </c>
      <c r="E84" s="644">
        <v>5.7404032465517972E-2</v>
      </c>
      <c r="F84" s="645">
        <f t="shared" si="59"/>
        <v>34.348507904533449</v>
      </c>
      <c r="G84" s="646">
        <v>1.0666796312008522</v>
      </c>
      <c r="H84" s="647">
        <v>3.537545306804283</v>
      </c>
      <c r="I84" s="648">
        <v>29.744282966528313</v>
      </c>
      <c r="J84" s="645">
        <f t="shared" si="60"/>
        <v>62.157587666409327</v>
      </c>
      <c r="K84" s="646">
        <v>54.453615180324988</v>
      </c>
      <c r="L84" s="647">
        <v>7.6549008215566179</v>
      </c>
      <c r="M84" s="649">
        <v>4.9071664527722159E-2</v>
      </c>
      <c r="N84" s="650">
        <v>0</v>
      </c>
      <c r="O84" s="651">
        <v>0</v>
      </c>
      <c r="P84" s="652">
        <v>3.4365003965917205</v>
      </c>
    </row>
    <row r="85" spans="2:17" s="1" customFormat="1" x14ac:dyDescent="0.25">
      <c r="B85" s="641" t="s">
        <v>466</v>
      </c>
      <c r="C85" s="642" t="s">
        <v>625</v>
      </c>
      <c r="D85" s="643">
        <f t="shared" si="58"/>
        <v>100.00000000000003</v>
      </c>
      <c r="E85" s="644">
        <v>5.7404032465517972E-2</v>
      </c>
      <c r="F85" s="645">
        <f t="shared" si="59"/>
        <v>34.348507904533449</v>
      </c>
      <c r="G85" s="646">
        <v>1.0666796312008522</v>
      </c>
      <c r="H85" s="647">
        <v>3.537545306804283</v>
      </c>
      <c r="I85" s="648">
        <v>29.744282966528313</v>
      </c>
      <c r="J85" s="645">
        <f t="shared" si="60"/>
        <v>62.157587666409327</v>
      </c>
      <c r="K85" s="646">
        <v>54.453615180324988</v>
      </c>
      <c r="L85" s="647">
        <v>7.6549008215566179</v>
      </c>
      <c r="M85" s="649">
        <v>4.9071664527722159E-2</v>
      </c>
      <c r="N85" s="650">
        <v>0</v>
      </c>
      <c r="O85" s="651">
        <v>0</v>
      </c>
      <c r="P85" s="652">
        <v>3.4365003965917205</v>
      </c>
    </row>
    <row r="86" spans="2:17" s="1" customFormat="1" x14ac:dyDescent="0.25">
      <c r="B86" s="641" t="s">
        <v>470</v>
      </c>
      <c r="C86" s="642" t="s">
        <v>626</v>
      </c>
      <c r="D86" s="643">
        <f t="shared" si="58"/>
        <v>100.00000000000003</v>
      </c>
      <c r="E86" s="644">
        <v>5.7404032465517972E-2</v>
      </c>
      <c r="F86" s="645">
        <f t="shared" si="59"/>
        <v>34.348507904533449</v>
      </c>
      <c r="G86" s="646">
        <v>1.0666796312008522</v>
      </c>
      <c r="H86" s="647">
        <v>3.537545306804283</v>
      </c>
      <c r="I86" s="648">
        <v>29.744282966528313</v>
      </c>
      <c r="J86" s="645">
        <f t="shared" si="60"/>
        <v>62.157587666409327</v>
      </c>
      <c r="K86" s="646">
        <v>54.453615180324988</v>
      </c>
      <c r="L86" s="647">
        <v>7.6549008215566179</v>
      </c>
      <c r="M86" s="649">
        <v>4.9071664527722159E-2</v>
      </c>
      <c r="N86" s="650">
        <v>0</v>
      </c>
      <c r="O86" s="651">
        <v>0</v>
      </c>
      <c r="P86" s="652">
        <v>3.4365003965917205</v>
      </c>
    </row>
    <row r="87" spans="2:17" s="1" customFormat="1" x14ac:dyDescent="0.25">
      <c r="B87" s="653" t="s">
        <v>474</v>
      </c>
      <c r="C87" s="642" t="s">
        <v>627</v>
      </c>
      <c r="D87" s="643">
        <f t="shared" si="58"/>
        <v>100.00000000000003</v>
      </c>
      <c r="E87" s="644">
        <v>5.7404032465517972E-2</v>
      </c>
      <c r="F87" s="645">
        <f t="shared" si="59"/>
        <v>34.348507904533449</v>
      </c>
      <c r="G87" s="646">
        <v>1.0666796312008522</v>
      </c>
      <c r="H87" s="647">
        <v>3.537545306804283</v>
      </c>
      <c r="I87" s="648">
        <v>29.744282966528313</v>
      </c>
      <c r="J87" s="645">
        <f t="shared" si="60"/>
        <v>62.157587666409327</v>
      </c>
      <c r="K87" s="646">
        <v>54.453615180324988</v>
      </c>
      <c r="L87" s="647">
        <v>7.6549008215566179</v>
      </c>
      <c r="M87" s="649">
        <v>4.9071664527722159E-2</v>
      </c>
      <c r="N87" s="650">
        <v>0</v>
      </c>
      <c r="O87" s="651">
        <v>0</v>
      </c>
      <c r="P87" s="652">
        <v>3.4365003965917205</v>
      </c>
    </row>
    <row r="88" spans="2:17" s="1" customFormat="1" x14ac:dyDescent="0.25">
      <c r="B88" s="653" t="s">
        <v>478</v>
      </c>
      <c r="C88" s="642" t="s">
        <v>628</v>
      </c>
      <c r="D88" s="643">
        <f t="shared" si="58"/>
        <v>100.00000000000003</v>
      </c>
      <c r="E88" s="644">
        <v>5.7404032465517972E-2</v>
      </c>
      <c r="F88" s="645">
        <f t="shared" si="59"/>
        <v>34.348507904533449</v>
      </c>
      <c r="G88" s="646">
        <v>1.0666796312008522</v>
      </c>
      <c r="H88" s="647">
        <v>3.537545306804283</v>
      </c>
      <c r="I88" s="648">
        <v>29.744282966528313</v>
      </c>
      <c r="J88" s="645">
        <f t="shared" si="60"/>
        <v>62.157587666409327</v>
      </c>
      <c r="K88" s="646">
        <v>54.453615180324988</v>
      </c>
      <c r="L88" s="647">
        <v>7.6549008215566179</v>
      </c>
      <c r="M88" s="649">
        <v>4.9071664527722159E-2</v>
      </c>
      <c r="N88" s="650">
        <v>0</v>
      </c>
      <c r="O88" s="651">
        <v>0</v>
      </c>
      <c r="P88" s="652">
        <v>3.4365003965917205</v>
      </c>
    </row>
    <row r="89" spans="2:17" s="1" customFormat="1" x14ac:dyDescent="0.25">
      <c r="B89" s="653" t="s">
        <v>494</v>
      </c>
      <c r="C89" s="642" t="s">
        <v>629</v>
      </c>
      <c r="D89" s="643">
        <f t="shared" si="58"/>
        <v>100.00000000000003</v>
      </c>
      <c r="E89" s="644">
        <v>5.7404032465517972E-2</v>
      </c>
      <c r="F89" s="645">
        <f t="shared" si="59"/>
        <v>34.348507904533449</v>
      </c>
      <c r="G89" s="646">
        <v>1.0666796312008522</v>
      </c>
      <c r="H89" s="647">
        <v>3.537545306804283</v>
      </c>
      <c r="I89" s="648">
        <v>29.744282966528313</v>
      </c>
      <c r="J89" s="645">
        <f t="shared" si="60"/>
        <v>62.157587666409327</v>
      </c>
      <c r="K89" s="646">
        <v>54.453615180324988</v>
      </c>
      <c r="L89" s="647">
        <v>7.6549008215566179</v>
      </c>
      <c r="M89" s="649">
        <v>4.9071664527722159E-2</v>
      </c>
      <c r="N89" s="650">
        <v>0</v>
      </c>
      <c r="O89" s="651">
        <v>0</v>
      </c>
      <c r="P89" s="652">
        <v>3.4365003965917205</v>
      </c>
    </row>
    <row r="90" spans="2:17" s="1" customFormat="1" x14ac:dyDescent="0.25">
      <c r="B90" s="653" t="s">
        <v>495</v>
      </c>
      <c r="C90" s="642" t="s">
        <v>630</v>
      </c>
      <c r="D90" s="643">
        <f t="shared" si="58"/>
        <v>100.00000000000003</v>
      </c>
      <c r="E90" s="644">
        <v>5.7404032465517972E-2</v>
      </c>
      <c r="F90" s="645">
        <f t="shared" si="59"/>
        <v>34.348507904533449</v>
      </c>
      <c r="G90" s="646">
        <v>1.0666796312008522</v>
      </c>
      <c r="H90" s="647">
        <v>3.537545306804283</v>
      </c>
      <c r="I90" s="648">
        <v>29.744282966528313</v>
      </c>
      <c r="J90" s="645">
        <f t="shared" si="60"/>
        <v>62.157587666409327</v>
      </c>
      <c r="K90" s="646">
        <v>54.453615180324988</v>
      </c>
      <c r="L90" s="647">
        <v>7.6549008215566179</v>
      </c>
      <c r="M90" s="649">
        <v>4.9071664527722159E-2</v>
      </c>
      <c r="N90" s="650">
        <v>0</v>
      </c>
      <c r="O90" s="651">
        <v>0</v>
      </c>
      <c r="P90" s="652">
        <v>3.4365003965917205</v>
      </c>
    </row>
    <row r="91" spans="2:17" s="1" customFormat="1" x14ac:dyDescent="0.25">
      <c r="B91" s="653" t="s">
        <v>631</v>
      </c>
      <c r="C91" s="642" t="s">
        <v>632</v>
      </c>
      <c r="D91" s="643">
        <f t="shared" si="58"/>
        <v>100.00000000000003</v>
      </c>
      <c r="E91" s="644">
        <v>5.7404032465517972E-2</v>
      </c>
      <c r="F91" s="645">
        <f t="shared" si="59"/>
        <v>34.348507904533449</v>
      </c>
      <c r="G91" s="646">
        <v>1.0666796312008522</v>
      </c>
      <c r="H91" s="647">
        <v>3.537545306804283</v>
      </c>
      <c r="I91" s="648">
        <v>29.744282966528313</v>
      </c>
      <c r="J91" s="645">
        <f t="shared" si="60"/>
        <v>62.157587666409327</v>
      </c>
      <c r="K91" s="646">
        <v>54.453615180324988</v>
      </c>
      <c r="L91" s="647">
        <v>7.6549008215566179</v>
      </c>
      <c r="M91" s="649">
        <v>4.9071664527722159E-2</v>
      </c>
      <c r="N91" s="650">
        <v>0</v>
      </c>
      <c r="O91" s="651">
        <v>0</v>
      </c>
      <c r="P91" s="652">
        <v>3.4365003965917205</v>
      </c>
    </row>
    <row r="92" spans="2:17" s="1" customFormat="1" x14ac:dyDescent="0.25">
      <c r="B92" s="653" t="s">
        <v>633</v>
      </c>
      <c r="C92" s="642" t="s">
        <v>634</v>
      </c>
      <c r="D92" s="643">
        <f t="shared" si="58"/>
        <v>100.00000000000003</v>
      </c>
      <c r="E92" s="644">
        <v>5.7404032465517972E-2</v>
      </c>
      <c r="F92" s="645">
        <f t="shared" si="59"/>
        <v>34.348507904533449</v>
      </c>
      <c r="G92" s="646">
        <v>1.0666796312008522</v>
      </c>
      <c r="H92" s="647">
        <v>3.537545306804283</v>
      </c>
      <c r="I92" s="648">
        <v>29.744282966528313</v>
      </c>
      <c r="J92" s="645">
        <f t="shared" si="60"/>
        <v>62.157587666409327</v>
      </c>
      <c r="K92" s="646">
        <v>54.453615180324988</v>
      </c>
      <c r="L92" s="647">
        <v>7.6549008215566179</v>
      </c>
      <c r="M92" s="649">
        <v>4.9071664527722159E-2</v>
      </c>
      <c r="N92" s="650">
        <v>0</v>
      </c>
      <c r="O92" s="651">
        <v>0</v>
      </c>
      <c r="P92" s="652">
        <v>3.4365003965917205</v>
      </c>
    </row>
    <row r="93" spans="2:17" s="1" customFormat="1" x14ac:dyDescent="0.25">
      <c r="B93" s="641" t="s">
        <v>635</v>
      </c>
      <c r="C93" s="642" t="s">
        <v>636</v>
      </c>
      <c r="D93" s="643">
        <f t="shared" si="58"/>
        <v>100.00000000000003</v>
      </c>
      <c r="E93" s="644">
        <v>5.7404032465517972E-2</v>
      </c>
      <c r="F93" s="645">
        <f t="shared" si="59"/>
        <v>34.348507904533449</v>
      </c>
      <c r="G93" s="646">
        <v>1.0666796312008522</v>
      </c>
      <c r="H93" s="647">
        <v>3.537545306804283</v>
      </c>
      <c r="I93" s="648">
        <v>29.744282966528313</v>
      </c>
      <c r="J93" s="645">
        <f t="shared" si="60"/>
        <v>62.157587666409327</v>
      </c>
      <c r="K93" s="646">
        <v>54.453615180324988</v>
      </c>
      <c r="L93" s="647">
        <v>7.6549008215566179</v>
      </c>
      <c r="M93" s="649">
        <v>4.9071664527722159E-2</v>
      </c>
      <c r="N93" s="650">
        <v>0</v>
      </c>
      <c r="O93" s="651">
        <v>0</v>
      </c>
      <c r="P93" s="652">
        <v>3.4365003965917205</v>
      </c>
    </row>
    <row r="94" spans="2:17" s="1" customFormat="1" x14ac:dyDescent="0.25">
      <c r="B94" s="653" t="s">
        <v>637</v>
      </c>
      <c r="C94" s="654" t="s">
        <v>638</v>
      </c>
      <c r="D94" s="655">
        <f t="shared" si="58"/>
        <v>100.00000000000003</v>
      </c>
      <c r="E94" s="656">
        <v>5.7404032465517972E-2</v>
      </c>
      <c r="F94" s="657">
        <f t="shared" si="59"/>
        <v>34.348507904533449</v>
      </c>
      <c r="G94" s="658">
        <v>1.0666796312008522</v>
      </c>
      <c r="H94" s="659">
        <v>3.537545306804283</v>
      </c>
      <c r="I94" s="660">
        <v>29.744282966528313</v>
      </c>
      <c r="J94" s="657">
        <f t="shared" si="60"/>
        <v>62.157587666409327</v>
      </c>
      <c r="K94" s="658">
        <v>54.453615180324988</v>
      </c>
      <c r="L94" s="659">
        <v>7.6549008215566179</v>
      </c>
      <c r="M94" s="661">
        <v>4.9071664527722159E-2</v>
      </c>
      <c r="N94" s="662">
        <v>0</v>
      </c>
      <c r="O94" s="663">
        <v>0</v>
      </c>
      <c r="P94" s="664">
        <v>3.4365003965917205</v>
      </c>
    </row>
    <row r="95" spans="2:17" s="1" customFormat="1" ht="15.75" thickBot="1" x14ac:dyDescent="0.3">
      <c r="B95" s="665" t="s">
        <v>639</v>
      </c>
      <c r="C95" s="666" t="s">
        <v>640</v>
      </c>
      <c r="D95" s="667">
        <f t="shared" si="58"/>
        <v>100.00000000000003</v>
      </c>
      <c r="E95" s="668">
        <v>5.7404032465517972E-2</v>
      </c>
      <c r="F95" s="669">
        <f t="shared" si="59"/>
        <v>34.348507904533449</v>
      </c>
      <c r="G95" s="670">
        <v>1.0666796312008522</v>
      </c>
      <c r="H95" s="671">
        <v>3.537545306804283</v>
      </c>
      <c r="I95" s="672">
        <v>29.744282966528313</v>
      </c>
      <c r="J95" s="669">
        <f t="shared" si="60"/>
        <v>62.157587666409327</v>
      </c>
      <c r="K95" s="670">
        <v>54.453615180324988</v>
      </c>
      <c r="L95" s="671">
        <v>7.6549008215566179</v>
      </c>
      <c r="M95" s="673">
        <v>4.9071664527722159E-2</v>
      </c>
      <c r="N95" s="668">
        <v>0</v>
      </c>
      <c r="O95" s="674">
        <v>0</v>
      </c>
      <c r="P95" s="675">
        <v>3.4365003965917205</v>
      </c>
    </row>
    <row r="96" spans="2:17" s="1" customFormat="1" ht="16.5" thickTop="1" thickBot="1" x14ac:dyDescent="0.3">
      <c r="B96" s="489" t="s">
        <v>77</v>
      </c>
      <c r="C96" s="490" t="s">
        <v>641</v>
      </c>
      <c r="D96" s="676">
        <f t="shared" ref="D96:P96" si="61">D97+D101+D106+D108+D111+D114</f>
        <v>33.316400000000002</v>
      </c>
      <c r="E96" s="677">
        <f t="shared" si="61"/>
        <v>1.2539418847032375</v>
      </c>
      <c r="F96" s="678">
        <f t="shared" si="61"/>
        <v>14.928096186888741</v>
      </c>
      <c r="G96" s="679">
        <f t="shared" si="61"/>
        <v>6.1424042695887353</v>
      </c>
      <c r="H96" s="680">
        <f t="shared" si="61"/>
        <v>0.94358348389387836</v>
      </c>
      <c r="I96" s="681">
        <f t="shared" si="61"/>
        <v>7.8421084334061275</v>
      </c>
      <c r="J96" s="678">
        <f t="shared" si="61"/>
        <v>15.829828936018806</v>
      </c>
      <c r="K96" s="679">
        <f t="shared" si="61"/>
        <v>12.140268511658139</v>
      </c>
      <c r="L96" s="680">
        <f t="shared" si="61"/>
        <v>3.3883795776601673</v>
      </c>
      <c r="M96" s="682">
        <f t="shared" si="61"/>
        <v>0.30118084670050216</v>
      </c>
      <c r="N96" s="677">
        <f t="shared" si="61"/>
        <v>0</v>
      </c>
      <c r="O96" s="683">
        <f t="shared" si="61"/>
        <v>0</v>
      </c>
      <c r="P96" s="678">
        <f t="shared" si="61"/>
        <v>1.3045329923892164</v>
      </c>
      <c r="Q96" s="602"/>
    </row>
    <row r="97" spans="2:16" s="1" customFormat="1" ht="15.75" thickTop="1" x14ac:dyDescent="0.25">
      <c r="B97" s="499" t="s">
        <v>497</v>
      </c>
      <c r="C97" s="500" t="s">
        <v>8</v>
      </c>
      <c r="D97" s="684">
        <f>SUM(D98:D100)</f>
        <v>16.390989999999999</v>
      </c>
      <c r="E97" s="685">
        <f>SUM(E98:E100)</f>
        <v>9.4090892210198021E-3</v>
      </c>
      <c r="F97" s="686">
        <f t="shared" ref="F97:F117" si="62">SUM(G97:I97)</f>
        <v>5.6300604957812865</v>
      </c>
      <c r="G97" s="687">
        <f>SUM(G98:G100)</f>
        <v>0.17483935168216858</v>
      </c>
      <c r="H97" s="688">
        <f>SUM(H98:H100)</f>
        <v>0.57983869748375927</v>
      </c>
      <c r="I97" s="689">
        <f>SUM(I98:I100)</f>
        <v>4.875382446615359</v>
      </c>
      <c r="J97" s="686">
        <f t="shared" ref="J97:J117" si="63">SUM(K97:M97)</f>
        <v>10.188243978642385</v>
      </c>
      <c r="K97" s="687">
        <f t="shared" ref="K97:P97" si="64">SUM(K98:K100)</f>
        <v>8.9254866188455502</v>
      </c>
      <c r="L97" s="688">
        <f t="shared" si="64"/>
        <v>1.254714028171263</v>
      </c>
      <c r="M97" s="690">
        <f t="shared" si="64"/>
        <v>8.0433316255724835E-3</v>
      </c>
      <c r="N97" s="685">
        <f t="shared" si="64"/>
        <v>0</v>
      </c>
      <c r="O97" s="691">
        <f t="shared" si="64"/>
        <v>0</v>
      </c>
      <c r="P97" s="686">
        <f t="shared" si="64"/>
        <v>0.56327643635530922</v>
      </c>
    </row>
    <row r="98" spans="2:16" s="1" customFormat="1" x14ac:dyDescent="0.25">
      <c r="B98" s="509" t="s">
        <v>498</v>
      </c>
      <c r="C98" s="510" t="s">
        <v>10</v>
      </c>
      <c r="D98" s="692">
        <v>16.390989999999999</v>
      </c>
      <c r="E98" s="693">
        <f>IFERROR($D98*E119/100, 0)</f>
        <v>9.4090892210198021E-3</v>
      </c>
      <c r="F98" s="694">
        <f t="shared" si="62"/>
        <v>5.6300604957812865</v>
      </c>
      <c r="G98" s="695">
        <f t="shared" ref="G98:I100" si="65">IFERROR($D98*G119/100, 0)</f>
        <v>0.17483935168216858</v>
      </c>
      <c r="H98" s="696">
        <f t="shared" si="65"/>
        <v>0.57983869748375927</v>
      </c>
      <c r="I98" s="697">
        <f t="shared" si="65"/>
        <v>4.875382446615359</v>
      </c>
      <c r="J98" s="694">
        <f t="shared" si="63"/>
        <v>10.188243978642385</v>
      </c>
      <c r="K98" s="695">
        <f t="shared" ref="K98:P100" si="66">IFERROR($D98*K119/100, 0)</f>
        <v>8.9254866188455502</v>
      </c>
      <c r="L98" s="696">
        <f t="shared" si="66"/>
        <v>1.254714028171263</v>
      </c>
      <c r="M98" s="698">
        <f t="shared" si="66"/>
        <v>8.0433316255724835E-3</v>
      </c>
      <c r="N98" s="693">
        <f t="shared" si="66"/>
        <v>0</v>
      </c>
      <c r="O98" s="699">
        <f t="shared" si="66"/>
        <v>0</v>
      </c>
      <c r="P98" s="694">
        <f t="shared" si="66"/>
        <v>0.56327643635530922</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0.86885999999999997</v>
      </c>
      <c r="E101" s="685">
        <f>SUM(E102:E105)</f>
        <v>8.9962961582821293E-6</v>
      </c>
      <c r="F101" s="686">
        <f t="shared" si="62"/>
        <v>0.52383699682317086</v>
      </c>
      <c r="G101" s="687">
        <f>SUM(G102:G105)</f>
        <v>6.3689835535070891E-2</v>
      </c>
      <c r="H101" s="688">
        <f>SUM(H102:H105)</f>
        <v>0.17541924412590171</v>
      </c>
      <c r="I101" s="689">
        <f>SUM(I102:I105)</f>
        <v>0.28472791716219825</v>
      </c>
      <c r="J101" s="686">
        <f t="shared" si="63"/>
        <v>0.34447544235849448</v>
      </c>
      <c r="K101" s="687">
        <f t="shared" ref="K101:P101" si="67">SUM(K102:K105)</f>
        <v>8.5339100409992548E-3</v>
      </c>
      <c r="L101" s="688">
        <f t="shared" si="67"/>
        <v>0.33593384186077802</v>
      </c>
      <c r="M101" s="690">
        <f t="shared" si="67"/>
        <v>7.6904567172426223E-6</v>
      </c>
      <c r="N101" s="685">
        <f t="shared" si="67"/>
        <v>0</v>
      </c>
      <c r="O101" s="691">
        <f t="shared" si="67"/>
        <v>0</v>
      </c>
      <c r="P101" s="686">
        <f t="shared" si="67"/>
        <v>5.3856452217644992E-4</v>
      </c>
    </row>
    <row r="102" spans="2:16" s="1" customFormat="1" x14ac:dyDescent="0.25">
      <c r="B102" s="509" t="s">
        <v>500</v>
      </c>
      <c r="C102" s="510" t="s">
        <v>17</v>
      </c>
      <c r="D102" s="692">
        <v>0</v>
      </c>
      <c r="E102" s="693">
        <f>IFERROR($D102*E122/100, 0)</f>
        <v>0</v>
      </c>
      <c r="F102" s="694">
        <f t="shared" si="62"/>
        <v>0</v>
      </c>
      <c r="G102" s="695">
        <f t="shared" ref="G102:I105" si="68">IFERROR($D102*G122/100, 0)</f>
        <v>0</v>
      </c>
      <c r="H102" s="696">
        <f t="shared" si="68"/>
        <v>0</v>
      </c>
      <c r="I102" s="697">
        <f t="shared" si="68"/>
        <v>0</v>
      </c>
      <c r="J102" s="694">
        <f t="shared" si="63"/>
        <v>0</v>
      </c>
      <c r="K102" s="695">
        <f t="shared" ref="K102:P105" si="69">IFERROR($D102*K122/100, 0)</f>
        <v>0</v>
      </c>
      <c r="L102" s="696">
        <f t="shared" si="69"/>
        <v>0</v>
      </c>
      <c r="M102" s="698">
        <f t="shared" si="69"/>
        <v>0</v>
      </c>
      <c r="N102" s="693">
        <f t="shared" si="69"/>
        <v>0</v>
      </c>
      <c r="O102" s="699">
        <f t="shared" si="69"/>
        <v>0</v>
      </c>
      <c r="P102" s="694">
        <f t="shared" si="69"/>
        <v>0</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0.86885999999999997</v>
      </c>
      <c r="E105" s="693">
        <f>IFERROR($D105*E125/100, 0)</f>
        <v>8.9962961582821293E-6</v>
      </c>
      <c r="F105" s="694">
        <f t="shared" si="62"/>
        <v>0.52383699682317086</v>
      </c>
      <c r="G105" s="695">
        <f t="shared" si="68"/>
        <v>6.3689835535070891E-2</v>
      </c>
      <c r="H105" s="696">
        <f t="shared" si="68"/>
        <v>0.17541924412590171</v>
      </c>
      <c r="I105" s="697">
        <f t="shared" si="68"/>
        <v>0.28472791716219825</v>
      </c>
      <c r="J105" s="694">
        <f t="shared" si="63"/>
        <v>0.34447544235849448</v>
      </c>
      <c r="K105" s="695">
        <f t="shared" si="69"/>
        <v>8.5339100409992548E-3</v>
      </c>
      <c r="L105" s="696">
        <f t="shared" si="69"/>
        <v>0.33593384186077802</v>
      </c>
      <c r="M105" s="698">
        <f t="shared" si="69"/>
        <v>7.6904567172426223E-6</v>
      </c>
      <c r="N105" s="693">
        <f t="shared" si="69"/>
        <v>0</v>
      </c>
      <c r="O105" s="699">
        <f t="shared" si="69"/>
        <v>0</v>
      </c>
      <c r="P105" s="694">
        <f t="shared" si="69"/>
        <v>5.3856452217644992E-4</v>
      </c>
    </row>
    <row r="106" spans="2:16" s="1" customFormat="1" x14ac:dyDescent="0.25">
      <c r="B106" s="499" t="s">
        <v>173</v>
      </c>
      <c r="C106" s="524" t="s">
        <v>27</v>
      </c>
      <c r="D106" s="684">
        <f>D107</f>
        <v>0.84883999999999993</v>
      </c>
      <c r="E106" s="685">
        <f>E107</f>
        <v>0</v>
      </c>
      <c r="F106" s="686">
        <f t="shared" si="62"/>
        <v>0.67669061726013002</v>
      </c>
      <c r="G106" s="687">
        <f>G107</f>
        <v>0.24037433957504922</v>
      </c>
      <c r="H106" s="688">
        <f>H107</f>
        <v>1.3650524875112995E-2</v>
      </c>
      <c r="I106" s="689">
        <f>I107</f>
        <v>0.42266575280996782</v>
      </c>
      <c r="J106" s="686">
        <f t="shared" si="63"/>
        <v>9.3112256994270087E-2</v>
      </c>
      <c r="K106" s="687">
        <f t="shared" ref="K106:P106" si="70">K107</f>
        <v>6.3553313495986041E-3</v>
      </c>
      <c r="L106" s="688">
        <f t="shared" si="70"/>
        <v>8.6756925644671481E-2</v>
      </c>
      <c r="M106" s="690">
        <f t="shared" si="70"/>
        <v>0</v>
      </c>
      <c r="N106" s="685">
        <f t="shared" si="70"/>
        <v>0</v>
      </c>
      <c r="O106" s="691">
        <f t="shared" si="70"/>
        <v>0</v>
      </c>
      <c r="P106" s="686">
        <f t="shared" si="70"/>
        <v>7.9037125745599845E-2</v>
      </c>
    </row>
    <row r="107" spans="2:16" s="1" customFormat="1" x14ac:dyDescent="0.25">
      <c r="B107" s="509" t="s">
        <v>503</v>
      </c>
      <c r="C107" s="525" t="s">
        <v>647</v>
      </c>
      <c r="D107" s="692">
        <v>0.84883999999999993</v>
      </c>
      <c r="E107" s="693">
        <f>IFERROR($D107*E126/100, 0)</f>
        <v>0</v>
      </c>
      <c r="F107" s="694">
        <f t="shared" si="62"/>
        <v>0.67669061726013002</v>
      </c>
      <c r="G107" s="695">
        <f>IFERROR($D107*G126/100, 0)</f>
        <v>0.24037433957504922</v>
      </c>
      <c r="H107" s="696">
        <f>IFERROR($D107*H126/100, 0)</f>
        <v>1.3650524875112995E-2</v>
      </c>
      <c r="I107" s="697">
        <f>IFERROR($D107*I126/100, 0)</f>
        <v>0.42266575280996782</v>
      </c>
      <c r="J107" s="694">
        <f t="shared" si="63"/>
        <v>9.3112256994270087E-2</v>
      </c>
      <c r="K107" s="695">
        <f t="shared" ref="K107:P107" si="71">IFERROR($D107*K126/100, 0)</f>
        <v>6.3553313495986041E-3</v>
      </c>
      <c r="L107" s="696">
        <f t="shared" si="71"/>
        <v>8.6756925644671481E-2</v>
      </c>
      <c r="M107" s="698">
        <f t="shared" si="71"/>
        <v>0</v>
      </c>
      <c r="N107" s="693">
        <f t="shared" si="71"/>
        <v>0</v>
      </c>
      <c r="O107" s="699">
        <f t="shared" si="71"/>
        <v>0</v>
      </c>
      <c r="P107" s="694">
        <f t="shared" si="71"/>
        <v>7.9037125745599845E-2</v>
      </c>
    </row>
    <row r="108" spans="2:16" s="1" customFormat="1" x14ac:dyDescent="0.25">
      <c r="B108" s="499" t="s">
        <v>175</v>
      </c>
      <c r="C108" s="524" t="s">
        <v>33</v>
      </c>
      <c r="D108" s="684">
        <f>D109+D110</f>
        <v>10.007710000000001</v>
      </c>
      <c r="E108" s="685">
        <f>E109+E110</f>
        <v>4.4568796982784889E-2</v>
      </c>
      <c r="F108" s="686">
        <f t="shared" si="62"/>
        <v>6.7227631457443806</v>
      </c>
      <c r="G108" s="687">
        <f>G109+G110</f>
        <v>5.6208085705376565</v>
      </c>
      <c r="H108" s="688">
        <f>H109+H110</f>
        <v>3.3090338004155111E-2</v>
      </c>
      <c r="I108" s="689">
        <f>I109+I110</f>
        <v>1.068864237202569</v>
      </c>
      <c r="J108" s="686">
        <f t="shared" si="63"/>
        <v>2.7162377075223025</v>
      </c>
      <c r="K108" s="687">
        <f t="shared" ref="K108:P108" si="72">K109+K110</f>
        <v>1.0204724662112437</v>
      </c>
      <c r="L108" s="688">
        <f t="shared" si="72"/>
        <v>1.4045994327795557</v>
      </c>
      <c r="M108" s="690">
        <f t="shared" si="72"/>
        <v>0.29116580853150364</v>
      </c>
      <c r="N108" s="685">
        <f t="shared" si="72"/>
        <v>0</v>
      </c>
      <c r="O108" s="691">
        <f t="shared" si="72"/>
        <v>0</v>
      </c>
      <c r="P108" s="686">
        <f t="shared" si="72"/>
        <v>0.52414034975053214</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10.007710000000001</v>
      </c>
      <c r="E110" s="693">
        <f>IFERROR($D110*E128/100, 0)</f>
        <v>4.4568796982784889E-2</v>
      </c>
      <c r="F110" s="694">
        <f t="shared" si="62"/>
        <v>6.7227631457443806</v>
      </c>
      <c r="G110" s="695">
        <f t="shared" si="73"/>
        <v>5.6208085705376565</v>
      </c>
      <c r="H110" s="696">
        <f t="shared" si="73"/>
        <v>3.3090338004155111E-2</v>
      </c>
      <c r="I110" s="697">
        <f t="shared" si="73"/>
        <v>1.068864237202569</v>
      </c>
      <c r="J110" s="694">
        <f t="shared" si="63"/>
        <v>2.7162377075223025</v>
      </c>
      <c r="K110" s="695">
        <f t="shared" si="74"/>
        <v>1.0204724662112437</v>
      </c>
      <c r="L110" s="696">
        <f t="shared" si="74"/>
        <v>1.4045994327795557</v>
      </c>
      <c r="M110" s="698">
        <f t="shared" si="74"/>
        <v>0.29116580853150364</v>
      </c>
      <c r="N110" s="693">
        <f t="shared" si="74"/>
        <v>0</v>
      </c>
      <c r="O110" s="699">
        <f t="shared" si="74"/>
        <v>0</v>
      </c>
      <c r="P110" s="694">
        <f t="shared" si="74"/>
        <v>0.52414034975053214</v>
      </c>
    </row>
    <row r="111" spans="2:16" s="1" customFormat="1" x14ac:dyDescent="0.25">
      <c r="B111" s="499" t="s">
        <v>177</v>
      </c>
      <c r="C111" s="536" t="s">
        <v>39</v>
      </c>
      <c r="D111" s="700">
        <f>D112+D113</f>
        <v>5.2</v>
      </c>
      <c r="E111" s="701">
        <f>E112+E113</f>
        <v>1.1999550022032746</v>
      </c>
      <c r="F111" s="702">
        <f t="shared" si="62"/>
        <v>1.3747449312797733</v>
      </c>
      <c r="G111" s="703">
        <f>G112+G113</f>
        <v>4.2692172258789934E-2</v>
      </c>
      <c r="H111" s="704">
        <f>H112+H113</f>
        <v>0.1415846794049494</v>
      </c>
      <c r="I111" s="705">
        <f>I112+I113</f>
        <v>1.1904680796160338</v>
      </c>
      <c r="J111" s="702">
        <f t="shared" si="63"/>
        <v>2.4877595505013548</v>
      </c>
      <c r="K111" s="703">
        <f t="shared" ref="K111:P111" si="75">K112+K113</f>
        <v>2.1794201852107467</v>
      </c>
      <c r="L111" s="704">
        <f t="shared" si="75"/>
        <v>0.30637534920389931</v>
      </c>
      <c r="M111" s="706">
        <f t="shared" si="75"/>
        <v>1.9640160867087832E-3</v>
      </c>
      <c r="N111" s="701">
        <f t="shared" si="75"/>
        <v>0</v>
      </c>
      <c r="O111" s="707">
        <f t="shared" si="75"/>
        <v>0</v>
      </c>
      <c r="P111" s="702">
        <f t="shared" si="75"/>
        <v>0.13754051601559861</v>
      </c>
    </row>
    <row r="112" spans="2:16" s="1" customFormat="1" x14ac:dyDescent="0.25">
      <c r="B112" s="544" t="s">
        <v>648</v>
      </c>
      <c r="C112" s="545" t="s">
        <v>41</v>
      </c>
      <c r="D112" s="708">
        <v>5.2</v>
      </c>
      <c r="E112" s="693">
        <f>IFERROR($D112*E129/100, 0)</f>
        <v>1.1999550022032746</v>
      </c>
      <c r="F112" s="694">
        <f t="shared" si="62"/>
        <v>1.3747449312797733</v>
      </c>
      <c r="G112" s="695">
        <f t="shared" ref="G112:I113" si="76">IFERROR($D112*G129/100, 0)</f>
        <v>4.2692172258789934E-2</v>
      </c>
      <c r="H112" s="696">
        <f t="shared" si="76"/>
        <v>0.1415846794049494</v>
      </c>
      <c r="I112" s="697">
        <f t="shared" si="76"/>
        <v>1.1904680796160338</v>
      </c>
      <c r="J112" s="694">
        <f t="shared" si="63"/>
        <v>2.4877595505013548</v>
      </c>
      <c r="K112" s="695">
        <f t="shared" ref="K112:P113" si="77">IFERROR($D112*K129/100, 0)</f>
        <v>2.1794201852107467</v>
      </c>
      <c r="L112" s="696">
        <f t="shared" si="77"/>
        <v>0.30637534920389931</v>
      </c>
      <c r="M112" s="698">
        <f t="shared" si="77"/>
        <v>1.9640160867087832E-3</v>
      </c>
      <c r="N112" s="693">
        <f t="shared" si="77"/>
        <v>0</v>
      </c>
      <c r="O112" s="699">
        <f t="shared" si="77"/>
        <v>0</v>
      </c>
      <c r="P112" s="694">
        <f t="shared" si="77"/>
        <v>0.13754051601559861</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603</v>
      </c>
      <c r="D115" s="715">
        <v>0</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v>0</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100.00000000000003</v>
      </c>
      <c r="E119" s="716">
        <v>5.7404032465517972E-2</v>
      </c>
      <c r="F119" s="633">
        <f t="shared" ref="F119:F134" si="87">SUM(G119:I119)</f>
        <v>34.348507904533449</v>
      </c>
      <c r="G119" s="717">
        <v>1.0666796312008522</v>
      </c>
      <c r="H119" s="718">
        <v>3.537545306804283</v>
      </c>
      <c r="I119" s="719">
        <v>29.744282966528317</v>
      </c>
      <c r="J119" s="633">
        <f t="shared" ref="J119:J134" si="88">SUM(K119:M119)</f>
        <v>62.157587666409327</v>
      </c>
      <c r="K119" s="717">
        <v>54.453615180324988</v>
      </c>
      <c r="L119" s="718">
        <v>7.6549008215566179</v>
      </c>
      <c r="M119" s="720">
        <v>4.9071664527722152E-2</v>
      </c>
      <c r="N119" s="721">
        <v>0</v>
      </c>
      <c r="O119" s="722">
        <v>0</v>
      </c>
      <c r="P119" s="723">
        <v>3.4365003965917205</v>
      </c>
    </row>
    <row r="120" spans="2:16" s="1" customFormat="1" x14ac:dyDescent="0.25">
      <c r="B120" s="641" t="s">
        <v>214</v>
      </c>
      <c r="C120" s="642" t="s">
        <v>653</v>
      </c>
      <c r="D120" s="643">
        <f t="shared" si="86"/>
        <v>0</v>
      </c>
      <c r="E120" s="716">
        <v>0</v>
      </c>
      <c r="F120" s="645">
        <f t="shared" si="87"/>
        <v>0</v>
      </c>
      <c r="G120" s="724">
        <v>0</v>
      </c>
      <c r="H120" s="725">
        <v>0</v>
      </c>
      <c r="I120" s="726">
        <v>0</v>
      </c>
      <c r="J120" s="645">
        <f t="shared" si="88"/>
        <v>0</v>
      </c>
      <c r="K120" s="724">
        <v>0</v>
      </c>
      <c r="L120" s="725">
        <v>0</v>
      </c>
      <c r="M120" s="727">
        <v>0</v>
      </c>
      <c r="N120" s="728">
        <v>0</v>
      </c>
      <c r="O120" s="729">
        <v>0</v>
      </c>
      <c r="P120" s="730">
        <v>0</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v>0</v>
      </c>
      <c r="O121" s="729">
        <v>0</v>
      </c>
      <c r="P121" s="730">
        <v>0</v>
      </c>
    </row>
    <row r="122" spans="2:16" s="1" customFormat="1" x14ac:dyDescent="0.25">
      <c r="B122" s="653" t="s">
        <v>224</v>
      </c>
      <c r="C122" s="642" t="s">
        <v>655</v>
      </c>
      <c r="D122" s="643">
        <f t="shared" si="86"/>
        <v>100</v>
      </c>
      <c r="E122" s="716">
        <v>8.10111827953971E-3</v>
      </c>
      <c r="F122" s="645">
        <f t="shared" si="87"/>
        <v>90.734962687279534</v>
      </c>
      <c r="G122" s="724">
        <v>2.1470430521174118</v>
      </c>
      <c r="H122" s="725">
        <v>84.390271071070615</v>
      </c>
      <c r="I122" s="726">
        <v>4.1976485640915131</v>
      </c>
      <c r="J122" s="645">
        <f t="shared" si="88"/>
        <v>8.771961620621612</v>
      </c>
      <c r="K122" s="724">
        <v>7.6847419663302805</v>
      </c>
      <c r="L122" s="725">
        <v>1.0802944376917529</v>
      </c>
      <c r="M122" s="727">
        <v>6.9252165995788862E-3</v>
      </c>
      <c r="N122" s="728">
        <v>0</v>
      </c>
      <c r="O122" s="729">
        <v>0</v>
      </c>
      <c r="P122" s="730">
        <v>0.48497457381931408</v>
      </c>
    </row>
    <row r="123" spans="2:16" s="1" customFormat="1" x14ac:dyDescent="0.25">
      <c r="B123" s="641" t="s">
        <v>656</v>
      </c>
      <c r="C123" s="642" t="s">
        <v>657</v>
      </c>
      <c r="D123" s="643">
        <f t="shared" si="86"/>
        <v>100.00000000000001</v>
      </c>
      <c r="E123" s="716">
        <v>2.3682788806078759E-2</v>
      </c>
      <c r="F123" s="645">
        <f t="shared" si="87"/>
        <v>60.759696018578026</v>
      </c>
      <c r="G123" s="724">
        <v>47.028839905795628</v>
      </c>
      <c r="H123" s="725">
        <v>1.4594608565749467</v>
      </c>
      <c r="I123" s="726">
        <v>12.271395256207452</v>
      </c>
      <c r="J123" s="645">
        <f t="shared" si="88"/>
        <v>37.798847743104758</v>
      </c>
      <c r="K123" s="724">
        <v>34.620472539840527</v>
      </c>
      <c r="L123" s="725">
        <v>3.1581300424722412</v>
      </c>
      <c r="M123" s="727">
        <v>2.0245160791985906E-2</v>
      </c>
      <c r="N123" s="728">
        <v>0</v>
      </c>
      <c r="O123" s="729">
        <v>0</v>
      </c>
      <c r="P123" s="730">
        <v>1.4177734495111525</v>
      </c>
    </row>
    <row r="124" spans="2:16" s="1" customFormat="1" x14ac:dyDescent="0.25">
      <c r="B124" s="641" t="s">
        <v>658</v>
      </c>
      <c r="C124" s="642" t="s">
        <v>659</v>
      </c>
      <c r="D124" s="643">
        <f t="shared" si="86"/>
        <v>100</v>
      </c>
      <c r="E124" s="716">
        <v>0</v>
      </c>
      <c r="F124" s="645">
        <f t="shared" si="87"/>
        <v>31.193644233164232</v>
      </c>
      <c r="G124" s="724">
        <v>0</v>
      </c>
      <c r="H124" s="725">
        <v>0</v>
      </c>
      <c r="I124" s="726">
        <v>31.193644233164232</v>
      </c>
      <c r="J124" s="645">
        <f t="shared" si="88"/>
        <v>68.806355766835765</v>
      </c>
      <c r="K124" s="724">
        <v>68.806355766835765</v>
      </c>
      <c r="L124" s="725">
        <v>0</v>
      </c>
      <c r="M124" s="727">
        <v>0</v>
      </c>
      <c r="N124" s="728">
        <v>0</v>
      </c>
      <c r="O124" s="729">
        <v>0</v>
      </c>
      <c r="P124" s="730">
        <v>0</v>
      </c>
    </row>
    <row r="125" spans="2:16" s="1" customFormat="1" x14ac:dyDescent="0.25">
      <c r="B125" s="641" t="s">
        <v>660</v>
      </c>
      <c r="C125" s="642" t="s">
        <v>661</v>
      </c>
      <c r="D125" s="643">
        <f t="shared" si="86"/>
        <v>100.00000000000001</v>
      </c>
      <c r="E125" s="716">
        <v>1.0354137787770331E-3</v>
      </c>
      <c r="F125" s="645">
        <f t="shared" si="87"/>
        <v>60.290149946271072</v>
      </c>
      <c r="G125" s="724">
        <v>7.3302759403207531</v>
      </c>
      <c r="H125" s="725">
        <v>20.189586829397339</v>
      </c>
      <c r="I125" s="726">
        <v>32.770287176552984</v>
      </c>
      <c r="J125" s="645">
        <f t="shared" si="88"/>
        <v>39.646829449910747</v>
      </c>
      <c r="K125" s="724">
        <v>0.9821962158459655</v>
      </c>
      <c r="L125" s="725">
        <v>38.663748113709687</v>
      </c>
      <c r="M125" s="727">
        <v>8.8512035509088029E-4</v>
      </c>
      <c r="N125" s="728">
        <v>0</v>
      </c>
      <c r="O125" s="729">
        <v>0</v>
      </c>
      <c r="P125" s="730">
        <v>6.1985190039413711E-2</v>
      </c>
    </row>
    <row r="126" spans="2:16" s="1" customFormat="1" x14ac:dyDescent="0.25">
      <c r="B126" s="653" t="s">
        <v>662</v>
      </c>
      <c r="C126" s="642" t="s">
        <v>663</v>
      </c>
      <c r="D126" s="643">
        <f t="shared" si="86"/>
        <v>100</v>
      </c>
      <c r="E126" s="716">
        <v>0</v>
      </c>
      <c r="F126" s="645">
        <f t="shared" si="87"/>
        <v>79.719454462575996</v>
      </c>
      <c r="G126" s="724">
        <v>28.317979781236659</v>
      </c>
      <c r="H126" s="725">
        <v>1.608138739351703</v>
      </c>
      <c r="I126" s="726">
        <v>49.793335941987635</v>
      </c>
      <c r="J126" s="645">
        <f t="shared" si="88"/>
        <v>10.969353116520203</v>
      </c>
      <c r="K126" s="724">
        <v>0.74870780707773021</v>
      </c>
      <c r="L126" s="725">
        <v>10.220645309442473</v>
      </c>
      <c r="M126" s="727">
        <v>0</v>
      </c>
      <c r="N126" s="728">
        <v>0</v>
      </c>
      <c r="O126" s="729">
        <v>0</v>
      </c>
      <c r="P126" s="730">
        <v>9.3111924209038044</v>
      </c>
    </row>
    <row r="127" spans="2:16" s="1" customFormat="1" x14ac:dyDescent="0.25">
      <c r="B127" s="653" t="s">
        <v>664</v>
      </c>
      <c r="C127" s="642" t="s">
        <v>665</v>
      </c>
      <c r="D127" s="643">
        <f t="shared" si="86"/>
        <v>100</v>
      </c>
      <c r="E127" s="716">
        <v>19.897656288462152</v>
      </c>
      <c r="F127" s="645">
        <f t="shared" si="87"/>
        <v>80.102343711537856</v>
      </c>
      <c r="G127" s="724">
        <v>32.724503123307656</v>
      </c>
      <c r="H127" s="725">
        <v>0</v>
      </c>
      <c r="I127" s="726">
        <v>47.377840588230193</v>
      </c>
      <c r="J127" s="645">
        <f t="shared" si="88"/>
        <v>0</v>
      </c>
      <c r="K127" s="724">
        <v>0</v>
      </c>
      <c r="L127" s="725">
        <v>0</v>
      </c>
      <c r="M127" s="727">
        <v>0</v>
      </c>
      <c r="N127" s="728">
        <v>0</v>
      </c>
      <c r="O127" s="729">
        <v>0</v>
      </c>
      <c r="P127" s="730">
        <v>0</v>
      </c>
    </row>
    <row r="128" spans="2:16" s="1" customFormat="1" x14ac:dyDescent="0.25">
      <c r="B128" s="653" t="s">
        <v>666</v>
      </c>
      <c r="C128" s="642" t="s">
        <v>667</v>
      </c>
      <c r="D128" s="643">
        <f t="shared" si="86"/>
        <v>100</v>
      </c>
      <c r="E128" s="716">
        <v>0.44534460913420637</v>
      </c>
      <c r="F128" s="645">
        <f t="shared" si="87"/>
        <v>67.175838885662955</v>
      </c>
      <c r="G128" s="724">
        <v>56.164782657947278</v>
      </c>
      <c r="H128" s="725">
        <v>0.33064845008653437</v>
      </c>
      <c r="I128" s="726">
        <v>10.680407777629135</v>
      </c>
      <c r="J128" s="645">
        <f t="shared" si="88"/>
        <v>27.141451016489313</v>
      </c>
      <c r="K128" s="724">
        <v>10.196862880831313</v>
      </c>
      <c r="L128" s="725">
        <v>14.035173209251223</v>
      </c>
      <c r="M128" s="727">
        <v>2.9094149264067766</v>
      </c>
      <c r="N128" s="728">
        <v>0</v>
      </c>
      <c r="O128" s="729">
        <v>0</v>
      </c>
      <c r="P128" s="730">
        <v>5.2373654887135226</v>
      </c>
    </row>
    <row r="129" spans="2:16" s="1" customFormat="1" x14ac:dyDescent="0.25">
      <c r="B129" s="653" t="s">
        <v>668</v>
      </c>
      <c r="C129" s="642" t="s">
        <v>669</v>
      </c>
      <c r="D129" s="643">
        <f t="shared" si="86"/>
        <v>100.00000000000001</v>
      </c>
      <c r="E129" s="716">
        <v>23.076057734678358</v>
      </c>
      <c r="F129" s="645">
        <f t="shared" si="87"/>
        <v>26.43740252461102</v>
      </c>
      <c r="G129" s="724">
        <v>0.82100331266903703</v>
      </c>
      <c r="H129" s="725">
        <v>2.7227822962490267</v>
      </c>
      <c r="I129" s="726">
        <v>22.893616915692956</v>
      </c>
      <c r="J129" s="645">
        <f t="shared" si="88"/>
        <v>47.841529817333743</v>
      </c>
      <c r="K129" s="724">
        <v>41.911926638668206</v>
      </c>
      <c r="L129" s="725">
        <v>5.8918336385365251</v>
      </c>
      <c r="M129" s="727">
        <v>3.776954012901506E-2</v>
      </c>
      <c r="N129" s="728">
        <v>0</v>
      </c>
      <c r="O129" s="729">
        <v>0</v>
      </c>
      <c r="P129" s="730">
        <v>2.6450099233768962</v>
      </c>
    </row>
    <row r="130" spans="2:16" s="1" customFormat="1" x14ac:dyDescent="0.25">
      <c r="B130" s="641" t="s">
        <v>670</v>
      </c>
      <c r="C130" s="642" t="s">
        <v>671</v>
      </c>
      <c r="D130" s="643">
        <f t="shared" si="86"/>
        <v>100.00000000000001</v>
      </c>
      <c r="E130" s="716">
        <v>7.2376004079397439E-3</v>
      </c>
      <c r="F130" s="645">
        <f t="shared" si="87"/>
        <v>12.318549669685813</v>
      </c>
      <c r="G130" s="724">
        <v>0.13448882599942347</v>
      </c>
      <c r="H130" s="725">
        <v>0.44601987449247005</v>
      </c>
      <c r="I130" s="726">
        <v>11.73804096919392</v>
      </c>
      <c r="J130" s="645">
        <f t="shared" si="88"/>
        <v>87.240932773708096</v>
      </c>
      <c r="K130" s="724">
        <v>86.269602502763561</v>
      </c>
      <c r="L130" s="725">
        <v>0.96514323000072411</v>
      </c>
      <c r="M130" s="727">
        <v>6.1870409438128911E-3</v>
      </c>
      <c r="N130" s="728">
        <v>0</v>
      </c>
      <c r="O130" s="729">
        <v>0</v>
      </c>
      <c r="P130" s="730">
        <v>0.43327995619815896</v>
      </c>
    </row>
    <row r="131" spans="2:16" s="1" customFormat="1" x14ac:dyDescent="0.25">
      <c r="B131" s="653" t="s">
        <v>672</v>
      </c>
      <c r="C131" s="642" t="s">
        <v>673</v>
      </c>
      <c r="D131" s="643">
        <f t="shared" si="86"/>
        <v>0</v>
      </c>
      <c r="E131" s="716">
        <v>0</v>
      </c>
      <c r="F131" s="645">
        <f t="shared" si="87"/>
        <v>0</v>
      </c>
      <c r="G131" s="724">
        <v>0</v>
      </c>
      <c r="H131" s="725">
        <v>0</v>
      </c>
      <c r="I131" s="726">
        <v>0</v>
      </c>
      <c r="J131" s="645">
        <f t="shared" si="88"/>
        <v>0</v>
      </c>
      <c r="K131" s="724">
        <v>0</v>
      </c>
      <c r="L131" s="725">
        <v>0</v>
      </c>
      <c r="M131" s="727">
        <v>0</v>
      </c>
      <c r="N131" s="728">
        <v>0</v>
      </c>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v>0</v>
      </c>
      <c r="O132" s="737">
        <v>0</v>
      </c>
      <c r="P132" s="738">
        <v>0</v>
      </c>
    </row>
    <row r="133" spans="2:16" s="1" customFormat="1" ht="15.75" thickBot="1" x14ac:dyDescent="0.3">
      <c r="B133" s="739" t="s">
        <v>676</v>
      </c>
      <c r="C133" s="740" t="s">
        <v>677</v>
      </c>
      <c r="D133" s="741">
        <f t="shared" si="86"/>
        <v>0</v>
      </c>
      <c r="E133" s="742">
        <v>0</v>
      </c>
      <c r="F133" s="743">
        <f t="shared" si="87"/>
        <v>0</v>
      </c>
      <c r="G133" s="744">
        <v>0</v>
      </c>
      <c r="H133" s="745">
        <v>0</v>
      </c>
      <c r="I133" s="746">
        <v>0</v>
      </c>
      <c r="J133" s="743">
        <f t="shared" si="88"/>
        <v>0</v>
      </c>
      <c r="K133" s="744">
        <v>0</v>
      </c>
      <c r="L133" s="745">
        <v>0</v>
      </c>
      <c r="M133" s="747">
        <v>0</v>
      </c>
      <c r="N133" s="748">
        <v>0</v>
      </c>
      <c r="O133" s="749">
        <v>0</v>
      </c>
      <c r="P133" s="750">
        <v>0</v>
      </c>
    </row>
    <row r="134" spans="2:16" s="1" customFormat="1" ht="26.25" thickBot="1" x14ac:dyDescent="0.3">
      <c r="B134" s="751" t="s">
        <v>81</v>
      </c>
      <c r="C134" s="752" t="s">
        <v>678</v>
      </c>
      <c r="D134" s="753">
        <f t="shared" si="86"/>
        <v>99.999999999999986</v>
      </c>
      <c r="E134" s="754">
        <f>IFERROR(E96/$D$96*100, 0)</f>
        <v>3.7637376328271888</v>
      </c>
      <c r="F134" s="755">
        <f t="shared" si="87"/>
        <v>44.807050542341727</v>
      </c>
      <c r="G134" s="756">
        <f>IFERROR(G96/$D$96*100, 0)</f>
        <v>18.436578590690274</v>
      </c>
      <c r="H134" s="757">
        <f>IFERROR(H96/$D$96*100, 0)</f>
        <v>2.8321892037971637</v>
      </c>
      <c r="I134" s="758">
        <f>IFERROR(I96/$D$96*100, 0)</f>
        <v>23.538282747854293</v>
      </c>
      <c r="J134" s="755">
        <f t="shared" si="88"/>
        <v>47.513623728910709</v>
      </c>
      <c r="K134" s="756">
        <f t="shared" ref="K134:P134" si="89">IFERROR(K96/$D$96*100, 0)</f>
        <v>36.439316707862005</v>
      </c>
      <c r="L134" s="757">
        <f t="shared" si="89"/>
        <v>10.170305248046509</v>
      </c>
      <c r="M134" s="759">
        <f t="shared" si="89"/>
        <v>0.90400177300219153</v>
      </c>
      <c r="N134" s="755">
        <f t="shared" si="89"/>
        <v>0</v>
      </c>
      <c r="O134" s="760">
        <f t="shared" si="89"/>
        <v>0</v>
      </c>
      <c r="P134" s="755">
        <f t="shared" si="89"/>
        <v>3.9155880959203762</v>
      </c>
    </row>
  </sheetData>
  <sheetProtection algorithmName="SHA-512" hashValue="GEoEyTgA3jo8DNv/aPJRt/B0Xx8QHLQkM1xRp4mZl2KHa9qspI+no95bcW3HzcMaK+1L4qx8kJWVzU2gAinmlQ==" saltValue="0qPQiEqf0UkRkb+EJnGsWvR50q/wuUQ88PnPBMeASHOhJkYLBIbBQM1DyKamUYpl/IYXQZ/jWhq0gow5EMg1d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D31" workbookViewId="0">
      <selection activeCell="E37" sqref="E37:E40"/>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30" t="s">
        <v>0</v>
      </c>
      <c r="B1" s="1331"/>
      <c r="C1" s="1331"/>
      <c r="D1" s="1331"/>
      <c r="E1" s="1331"/>
      <c r="F1" s="1332"/>
    </row>
    <row r="2" spans="1:8" s="1" customFormat="1" x14ac:dyDescent="0.25">
      <c r="A2" s="1330" t="s">
        <v>1</v>
      </c>
      <c r="B2" s="1331"/>
      <c r="C2" s="1331"/>
      <c r="D2" s="1331"/>
      <c r="E2" s="1331"/>
      <c r="F2" s="1332"/>
    </row>
    <row r="3" spans="1:8" s="1" customFormat="1" x14ac:dyDescent="0.25">
      <c r="A3" s="1333"/>
      <c r="B3" s="1334"/>
      <c r="C3" s="1334"/>
      <c r="D3" s="1334"/>
      <c r="E3" s="1334"/>
      <c r="F3" s="1335"/>
    </row>
    <row r="4" spans="1:8" s="1" customFormat="1" x14ac:dyDescent="0.25">
      <c r="A4" s="764"/>
      <c r="B4" s="765"/>
      <c r="C4" s="765"/>
      <c r="D4" s="765"/>
      <c r="E4" s="766"/>
      <c r="F4" s="765"/>
    </row>
    <row r="5" spans="1:8" s="1" customFormat="1" x14ac:dyDescent="0.25">
      <c r="A5" s="1336" t="s">
        <v>679</v>
      </c>
      <c r="B5" s="1337"/>
      <c r="C5" s="1337"/>
      <c r="D5" s="1337"/>
      <c r="E5" s="1337"/>
      <c r="F5" s="1338"/>
    </row>
    <row r="6" spans="1:8" s="1" customFormat="1" x14ac:dyDescent="0.25">
      <c r="A6" s="764"/>
      <c r="B6" s="765"/>
      <c r="C6" s="765"/>
      <c r="D6" s="765"/>
      <c r="E6" s="766"/>
      <c r="F6" s="765"/>
    </row>
    <row r="8" spans="1:8" s="1" customFormat="1" ht="15.75" thickBot="1" x14ac:dyDescent="0.3">
      <c r="B8" s="1329" t="s">
        <v>680</v>
      </c>
      <c r="C8" s="1329"/>
      <c r="D8" s="1329"/>
      <c r="E8" s="1329"/>
      <c r="F8" s="1329"/>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990.7889069142069</v>
      </c>
      <c r="F10" s="777" t="s">
        <v>687</v>
      </c>
      <c r="G10" s="772"/>
      <c r="H10" s="778"/>
    </row>
    <row r="11" spans="1:8" s="1" customFormat="1" x14ac:dyDescent="0.25">
      <c r="B11" s="779" t="s">
        <v>98</v>
      </c>
      <c r="C11" s="780" t="s">
        <v>688</v>
      </c>
      <c r="D11" s="781" t="s">
        <v>686</v>
      </c>
      <c r="E11" s="782">
        <f>SUM(E12:E18)</f>
        <v>62.079109720276975</v>
      </c>
      <c r="F11" s="783" t="s">
        <v>687</v>
      </c>
      <c r="G11" s="772"/>
    </row>
    <row r="12" spans="1:8" s="1" customFormat="1" x14ac:dyDescent="0.25">
      <c r="B12" s="784" t="s">
        <v>689</v>
      </c>
      <c r="C12" s="785" t="s">
        <v>690</v>
      </c>
      <c r="D12" s="786" t="s">
        <v>686</v>
      </c>
      <c r="E12" s="787">
        <v>9.8592002333616158</v>
      </c>
      <c r="F12" s="783" t="s">
        <v>687</v>
      </c>
      <c r="G12" s="772"/>
    </row>
    <row r="13" spans="1:8" s="1" customFormat="1" x14ac:dyDescent="0.25">
      <c r="B13" s="784" t="s">
        <v>691</v>
      </c>
      <c r="C13" s="785" t="s">
        <v>692</v>
      </c>
      <c r="D13" s="786" t="s">
        <v>686</v>
      </c>
      <c r="E13" s="787">
        <v>1.0546758155224771</v>
      </c>
      <c r="F13" s="783" t="s">
        <v>687</v>
      </c>
      <c r="G13" s="772"/>
    </row>
    <row r="14" spans="1:8" s="1" customFormat="1" x14ac:dyDescent="0.25">
      <c r="B14" s="784" t="s">
        <v>693</v>
      </c>
      <c r="C14" s="785" t="s">
        <v>694</v>
      </c>
      <c r="D14" s="786" t="s">
        <v>686</v>
      </c>
      <c r="E14" s="787">
        <v>1.0563970933975098</v>
      </c>
      <c r="F14" s="783" t="s">
        <v>687</v>
      </c>
      <c r="G14" s="772"/>
    </row>
    <row r="15" spans="1:8" s="1" customFormat="1" x14ac:dyDescent="0.25">
      <c r="B15" s="784" t="s">
        <v>695</v>
      </c>
      <c r="C15" s="785" t="s">
        <v>696</v>
      </c>
      <c r="D15" s="786" t="s">
        <v>686</v>
      </c>
      <c r="E15" s="787">
        <v>21.51516507324585</v>
      </c>
      <c r="F15" s="783" t="s">
        <v>687</v>
      </c>
      <c r="G15" s="772"/>
    </row>
    <row r="16" spans="1:8" s="1" customFormat="1" x14ac:dyDescent="0.25">
      <c r="B16" s="784" t="s">
        <v>697</v>
      </c>
      <c r="C16" s="785" t="s">
        <v>698</v>
      </c>
      <c r="D16" s="786" t="s">
        <v>686</v>
      </c>
      <c r="E16" s="787">
        <v>24.79378821478802</v>
      </c>
      <c r="F16" s="783" t="s">
        <v>687</v>
      </c>
      <c r="G16" s="772"/>
    </row>
    <row r="17" spans="2:8" s="1" customFormat="1" x14ac:dyDescent="0.25">
      <c r="B17" s="784" t="s">
        <v>699</v>
      </c>
      <c r="C17" s="785" t="s">
        <v>700</v>
      </c>
      <c r="D17" s="786" t="s">
        <v>686</v>
      </c>
      <c r="E17" s="787">
        <v>3.7998832899614987</v>
      </c>
      <c r="F17" s="783" t="s">
        <v>687</v>
      </c>
      <c r="G17" s="772"/>
    </row>
    <row r="18" spans="2:8" s="1" customFormat="1" ht="15.75" thickBot="1" x14ac:dyDescent="0.3">
      <c r="B18" s="784" t="s">
        <v>701</v>
      </c>
      <c r="C18" s="788" t="s">
        <v>702</v>
      </c>
      <c r="D18" s="786" t="s">
        <v>686</v>
      </c>
      <c r="E18" s="789">
        <v>0</v>
      </c>
      <c r="F18" s="790" t="s">
        <v>687</v>
      </c>
      <c r="G18" s="772"/>
    </row>
    <row r="19" spans="2:8" s="1" customFormat="1" ht="27" x14ac:dyDescent="0.25">
      <c r="B19" s="779" t="s">
        <v>100</v>
      </c>
      <c r="C19" s="791" t="s">
        <v>703</v>
      </c>
      <c r="D19" s="792" t="s">
        <v>686</v>
      </c>
      <c r="E19" s="777">
        <f>SUM(E20:E26)</f>
        <v>928.70979719392994</v>
      </c>
      <c r="F19" s="793" t="s">
        <v>687</v>
      </c>
      <c r="G19" s="772"/>
    </row>
    <row r="20" spans="2:8" s="1" customFormat="1" x14ac:dyDescent="0.25">
      <c r="B20" s="784" t="s">
        <v>704</v>
      </c>
      <c r="C20" s="785" t="s">
        <v>690</v>
      </c>
      <c r="D20" s="784" t="s">
        <v>686</v>
      </c>
      <c r="E20" s="794">
        <v>266.86400613557873</v>
      </c>
      <c r="F20" s="795" t="s">
        <v>687</v>
      </c>
      <c r="G20" s="772"/>
    </row>
    <row r="21" spans="2:8" s="1" customFormat="1" x14ac:dyDescent="0.25">
      <c r="B21" s="784" t="s">
        <v>705</v>
      </c>
      <c r="C21" s="785" t="s">
        <v>692</v>
      </c>
      <c r="D21" s="784" t="s">
        <v>686</v>
      </c>
      <c r="E21" s="794">
        <v>32.378903303585048</v>
      </c>
      <c r="F21" s="795" t="s">
        <v>687</v>
      </c>
      <c r="G21" s="772"/>
    </row>
    <row r="22" spans="2:8" s="1" customFormat="1" x14ac:dyDescent="0.25">
      <c r="B22" s="784" t="s">
        <v>706</v>
      </c>
      <c r="C22" s="785" t="s">
        <v>694</v>
      </c>
      <c r="D22" s="784" t="s">
        <v>686</v>
      </c>
      <c r="E22" s="794">
        <v>11.870576229968771</v>
      </c>
      <c r="F22" s="795" t="s">
        <v>687</v>
      </c>
      <c r="G22" s="772"/>
    </row>
    <row r="23" spans="2:8" s="1" customFormat="1" x14ac:dyDescent="0.25">
      <c r="B23" s="784" t="s">
        <v>707</v>
      </c>
      <c r="C23" s="785" t="s">
        <v>696</v>
      </c>
      <c r="D23" s="784" t="s">
        <v>686</v>
      </c>
      <c r="E23" s="794">
        <v>107.41958970735851</v>
      </c>
      <c r="F23" s="795" t="s">
        <v>687</v>
      </c>
      <c r="G23" s="772"/>
    </row>
    <row r="24" spans="2:8" s="1" customFormat="1" x14ac:dyDescent="0.25">
      <c r="B24" s="784" t="s">
        <v>708</v>
      </c>
      <c r="C24" s="785" t="s">
        <v>698</v>
      </c>
      <c r="D24" s="784" t="s">
        <v>686</v>
      </c>
      <c r="E24" s="794">
        <v>505.60368526283793</v>
      </c>
      <c r="F24" s="795" t="s">
        <v>687</v>
      </c>
      <c r="G24" s="772"/>
    </row>
    <row r="25" spans="2:8" s="1" customFormat="1" x14ac:dyDescent="0.25">
      <c r="B25" s="784" t="s">
        <v>709</v>
      </c>
      <c r="C25" s="785" t="s">
        <v>700</v>
      </c>
      <c r="D25" s="784" t="s">
        <v>686</v>
      </c>
      <c r="E25" s="794">
        <v>4.5730365546009759</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999.54406254683727</v>
      </c>
      <c r="F27" s="800"/>
      <c r="G27" s="772"/>
    </row>
    <row r="28" spans="2:8" s="1" customFormat="1" x14ac:dyDescent="0.25">
      <c r="B28" s="773" t="s">
        <v>138</v>
      </c>
      <c r="C28" s="801" t="s">
        <v>712</v>
      </c>
      <c r="D28" s="773" t="s">
        <v>686</v>
      </c>
      <c r="E28" s="802">
        <f>E29+E30+E31</f>
        <v>323.08375881141416</v>
      </c>
      <c r="F28" s="793" t="s">
        <v>687</v>
      </c>
      <c r="G28" s="772"/>
    </row>
    <row r="29" spans="2:8" s="1" customFormat="1" x14ac:dyDescent="0.25">
      <c r="B29" s="779" t="s">
        <v>713</v>
      </c>
      <c r="C29" s="803" t="s">
        <v>690</v>
      </c>
      <c r="D29" s="779" t="s">
        <v>686</v>
      </c>
      <c r="E29" s="804">
        <f>E12+E20</f>
        <v>276.72320636894034</v>
      </c>
      <c r="F29" s="793" t="s">
        <v>687</v>
      </c>
      <c r="G29" s="772"/>
    </row>
    <row r="30" spans="2:8" s="1" customFormat="1" x14ac:dyDescent="0.25">
      <c r="B30" s="779" t="s">
        <v>714</v>
      </c>
      <c r="C30" s="803" t="s">
        <v>692</v>
      </c>
      <c r="D30" s="779" t="s">
        <v>686</v>
      </c>
      <c r="E30" s="804">
        <f>E13+E21</f>
        <v>33.433579119107527</v>
      </c>
      <c r="F30" s="793" t="s">
        <v>687</v>
      </c>
      <c r="G30" s="772"/>
    </row>
    <row r="31" spans="2:8" s="1" customFormat="1" ht="15.75" thickBot="1" x14ac:dyDescent="0.3">
      <c r="B31" s="805" t="s">
        <v>715</v>
      </c>
      <c r="C31" s="806" t="s">
        <v>694</v>
      </c>
      <c r="D31" s="805" t="s">
        <v>686</v>
      </c>
      <c r="E31" s="804">
        <f t="shared" ref="E31" si="0">E14+E22</f>
        <v>12.92697332336628</v>
      </c>
      <c r="F31" s="807" t="s">
        <v>687</v>
      </c>
    </row>
    <row r="32" spans="2:8" s="1" customFormat="1" ht="21" customHeight="1" x14ac:dyDescent="0.25">
      <c r="B32" s="773" t="s">
        <v>140</v>
      </c>
      <c r="C32" s="808" t="s">
        <v>716</v>
      </c>
      <c r="D32" s="773" t="s">
        <v>686</v>
      </c>
      <c r="E32" s="802">
        <f>E33+E34+E35</f>
        <v>667.7051481027928</v>
      </c>
      <c r="F32" s="809" t="s">
        <v>687</v>
      </c>
    </row>
    <row r="33" spans="2:6" s="1" customFormat="1" x14ac:dyDescent="0.25">
      <c r="B33" s="779" t="s">
        <v>717</v>
      </c>
      <c r="C33" s="803" t="s">
        <v>718</v>
      </c>
      <c r="D33" s="779" t="s">
        <v>686</v>
      </c>
      <c r="E33" s="810">
        <f>E15+E23</f>
        <v>128.93475478060435</v>
      </c>
      <c r="F33" s="795" t="s">
        <v>687</v>
      </c>
    </row>
    <row r="34" spans="2:6" s="1" customFormat="1" x14ac:dyDescent="0.25">
      <c r="B34" s="779" t="s">
        <v>719</v>
      </c>
      <c r="C34" s="803" t="s">
        <v>698</v>
      </c>
      <c r="D34" s="779" t="s">
        <v>686</v>
      </c>
      <c r="E34" s="810">
        <f t="shared" ref="E34" si="1">E16+E24</f>
        <v>530.39747347762591</v>
      </c>
      <c r="F34" s="795" t="s">
        <v>687</v>
      </c>
    </row>
    <row r="35" spans="2:6" s="1" customFormat="1" ht="15.75" thickBot="1" x14ac:dyDescent="0.3">
      <c r="B35" s="805" t="s">
        <v>720</v>
      </c>
      <c r="C35" s="806" t="s">
        <v>700</v>
      </c>
      <c r="D35" s="805" t="s">
        <v>686</v>
      </c>
      <c r="E35" s="810">
        <f>E17+E25</f>
        <v>8.3729198445624746</v>
      </c>
      <c r="F35" s="795" t="s">
        <v>687</v>
      </c>
    </row>
    <row r="36" spans="2:6" s="1" customFormat="1" ht="15.75" thickBot="1" x14ac:dyDescent="0.3">
      <c r="B36" s="767" t="s">
        <v>607</v>
      </c>
      <c r="C36" s="811" t="s">
        <v>721</v>
      </c>
      <c r="D36" s="767" t="s">
        <v>686</v>
      </c>
      <c r="E36" s="812">
        <f>E18+E26</f>
        <v>0</v>
      </c>
      <c r="F36" s="813" t="s">
        <v>687</v>
      </c>
    </row>
    <row r="37" spans="2:6" s="1" customFormat="1" ht="15.75" thickBot="1" x14ac:dyDescent="0.3">
      <c r="B37" s="798" t="s">
        <v>722</v>
      </c>
      <c r="C37" s="774" t="s">
        <v>723</v>
      </c>
      <c r="D37" s="798" t="s">
        <v>686</v>
      </c>
      <c r="E37" s="814">
        <v>2.9095854341133451</v>
      </c>
      <c r="F37" s="813" t="s">
        <v>687</v>
      </c>
    </row>
    <row r="38" spans="2:6" s="1" customFormat="1" ht="15.75" thickBot="1" x14ac:dyDescent="0.3">
      <c r="B38" s="767" t="s">
        <v>724</v>
      </c>
      <c r="C38" s="815" t="s">
        <v>725</v>
      </c>
      <c r="D38" s="767" t="s">
        <v>686</v>
      </c>
      <c r="E38" s="816">
        <v>5.8455701985169846</v>
      </c>
      <c r="F38" s="813" t="s">
        <v>726</v>
      </c>
    </row>
    <row r="39" spans="2:6" s="1" customFormat="1" ht="15.75" thickBot="1" x14ac:dyDescent="0.3">
      <c r="B39" s="817" t="s">
        <v>59</v>
      </c>
      <c r="C39" s="818" t="s">
        <v>727</v>
      </c>
      <c r="D39" s="817" t="s">
        <v>686</v>
      </c>
      <c r="E39" s="819">
        <v>56.516937453162761</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1056.0609999999999</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0.24994133999780083</v>
      </c>
      <c r="F43" s="777"/>
    </row>
    <row r="44" spans="2:6" s="1" customFormat="1" x14ac:dyDescent="0.25">
      <c r="B44" s="779" t="s">
        <v>734</v>
      </c>
      <c r="C44" s="803" t="s">
        <v>735</v>
      </c>
      <c r="D44" s="827" t="s">
        <v>736</v>
      </c>
      <c r="E44" s="804">
        <f>VAS078_F_Vidutinissvert1AtaskaitinisLaikotarpis</f>
        <v>100</v>
      </c>
      <c r="F44" s="804" t="s">
        <v>737</v>
      </c>
    </row>
    <row r="45" spans="2:6" s="1" customFormat="1" x14ac:dyDescent="0.25">
      <c r="B45" s="805" t="s">
        <v>738</v>
      </c>
      <c r="C45" s="806" t="s">
        <v>739</v>
      </c>
      <c r="D45" s="828" t="s">
        <v>736</v>
      </c>
      <c r="E45" s="829">
        <f>VAS078_F_Vidutinissvert3AtaskaitinisLaikotarpis</f>
        <v>15</v>
      </c>
      <c r="F45" s="829" t="s">
        <v>737</v>
      </c>
    </row>
    <row r="46" spans="2:6" s="1" customFormat="1" ht="15.75" thickBot="1" x14ac:dyDescent="0.3">
      <c r="B46" s="779" t="s">
        <v>740</v>
      </c>
      <c r="C46" s="803" t="s">
        <v>741</v>
      </c>
      <c r="D46" s="779" t="s">
        <v>742</v>
      </c>
      <c r="E46" s="804">
        <f>VAS077_F_Patiektogeriam1AtaskaitinisLaikotarpis</f>
        <v>544</v>
      </c>
      <c r="F46" s="804" t="s">
        <v>743</v>
      </c>
    </row>
    <row r="47" spans="2:6" s="5" customFormat="1" x14ac:dyDescent="0.25">
      <c r="B47" s="773" t="s">
        <v>744</v>
      </c>
      <c r="C47" s="801" t="s">
        <v>745</v>
      </c>
      <c r="D47" s="773" t="s">
        <v>746</v>
      </c>
      <c r="E47" s="826">
        <f>IF(E48=0,"0",E21/E49)</f>
        <v>0.17741864823882217</v>
      </c>
      <c r="F47" s="777"/>
    </row>
    <row r="48" spans="2:6" s="1" customFormat="1" x14ac:dyDescent="0.25">
      <c r="B48" s="779" t="s">
        <v>747</v>
      </c>
      <c r="C48" s="803" t="s">
        <v>748</v>
      </c>
      <c r="D48" s="827" t="s">
        <v>736</v>
      </c>
      <c r="E48" s="804">
        <f>VAS078_F_Vidutinissvert2AtaskaitinisLaikotarpis</f>
        <v>90</v>
      </c>
      <c r="F48" s="804" t="s">
        <v>737</v>
      </c>
    </row>
    <row r="49" spans="2:6" s="1" customFormat="1" ht="15.75" thickBot="1" x14ac:dyDescent="0.3">
      <c r="B49" s="779" t="s">
        <v>749</v>
      </c>
      <c r="C49" s="803" t="s">
        <v>750</v>
      </c>
      <c r="D49" s="779" t="s">
        <v>742</v>
      </c>
      <c r="E49" s="804">
        <f>VAS077_F_Paruostogeriam1AtaskaitinisLaikotarpis</f>
        <v>182.5</v>
      </c>
      <c r="F49" s="804" t="s">
        <v>743</v>
      </c>
    </row>
    <row r="50" spans="2:6" s="5" customFormat="1" x14ac:dyDescent="0.25">
      <c r="B50" s="773" t="s">
        <v>751</v>
      </c>
      <c r="C50" s="801" t="s">
        <v>752</v>
      </c>
      <c r="D50" s="773" t="s">
        <v>733</v>
      </c>
      <c r="E50" s="826">
        <f>IF(E51=0,"0",((E23*100)/E53)/E51)</f>
        <v>6.8858711350870845</v>
      </c>
      <c r="F50" s="777"/>
    </row>
    <row r="51" spans="2:6" s="1" customFormat="1" x14ac:dyDescent="0.25">
      <c r="B51" s="779" t="s">
        <v>753</v>
      </c>
      <c r="C51" s="803" t="s">
        <v>754</v>
      </c>
      <c r="D51" s="827" t="s">
        <v>736</v>
      </c>
      <c r="E51" s="804">
        <f>VAS078_F_Vidutinissvert4AtaskaitinisLaikotarpis</f>
        <v>8</v>
      </c>
      <c r="F51" s="804" t="s">
        <v>737</v>
      </c>
    </row>
    <row r="52" spans="2:6" s="1" customFormat="1" x14ac:dyDescent="0.25">
      <c r="B52" s="779" t="s">
        <v>755</v>
      </c>
      <c r="C52" s="803" t="s">
        <v>756</v>
      </c>
      <c r="D52" s="779" t="s">
        <v>742</v>
      </c>
      <c r="E52" s="804">
        <f>VAS077_F_Surinktabuitin1AtaskaitinisLaikotarpis</f>
        <v>641.68000000000006</v>
      </c>
      <c r="F52" s="804" t="s">
        <v>743</v>
      </c>
    </row>
    <row r="53" spans="2:6" s="5" customFormat="1" ht="15.75" thickBot="1" x14ac:dyDescent="0.3">
      <c r="B53" s="779" t="s">
        <v>757</v>
      </c>
      <c r="C53" s="803" t="s">
        <v>758</v>
      </c>
      <c r="D53" s="779" t="s">
        <v>742</v>
      </c>
      <c r="E53" s="804">
        <f>VAS077_F_Perpumpuotasbu1AtaskaitinisLaikotarpis</f>
        <v>195</v>
      </c>
      <c r="F53" s="804" t="s">
        <v>743</v>
      </c>
    </row>
    <row r="54" spans="2:6" s="5" customFormat="1" x14ac:dyDescent="0.25">
      <c r="B54" s="773" t="s">
        <v>759</v>
      </c>
      <c r="C54" s="801" t="s">
        <v>760</v>
      </c>
      <c r="D54" s="773" t="s">
        <v>761</v>
      </c>
      <c r="E54" s="826">
        <f>IF(E55=0,"0",((E24*1000)/E55))</f>
        <v>3107.2987756793564</v>
      </c>
      <c r="F54" s="777"/>
    </row>
    <row r="55" spans="2:6" s="1" customFormat="1" ht="15.75" thickBot="1" x14ac:dyDescent="0.3">
      <c r="B55" s="779" t="s">
        <v>762</v>
      </c>
      <c r="C55" s="803" t="s">
        <v>763</v>
      </c>
      <c r="D55" s="827" t="s">
        <v>764</v>
      </c>
      <c r="E55" s="804">
        <f>VAS078_F_Pagalbiochemin3AtaskaitinisLaikotarpis</f>
        <v>162.71486000000002</v>
      </c>
      <c r="F55" s="804" t="s">
        <v>737</v>
      </c>
    </row>
    <row r="56" spans="2:6" s="1" customFormat="1" x14ac:dyDescent="0.25">
      <c r="B56" s="773" t="s">
        <v>765</v>
      </c>
      <c r="C56" s="801" t="s">
        <v>766</v>
      </c>
      <c r="D56" s="773" t="s">
        <v>767</v>
      </c>
      <c r="E56" s="777">
        <f>IFERROR(E57/(E27-E40), 0)</f>
        <v>9.6582585896566625E-2</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96.538550278333076</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Clh/1zl3CTkv6Jp/tCPB/gqC3coY6EQGB7qoYcuJK65Duxd+BSHjpHa5cRZ/lDsXFmNg4s4fRVqqop/mUxMnLA==" saltValue="xUp+hjcWvkTaRURXrZWWm4NSzUVedF39+s8/znOHA9lXjZijic59u+xkPtQJu3au0E+m9Q6P6fItlK48xQcpYg=="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46"/>
  <sheetViews>
    <sheetView topLeftCell="D4" workbookViewId="0">
      <selection activeCell="E18" sqref="E18:E25"/>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0" t="s">
        <v>0</v>
      </c>
      <c r="B1" s="1341"/>
      <c r="C1" s="1341"/>
      <c r="D1" s="1341"/>
      <c r="E1" s="1341"/>
      <c r="F1" s="1342"/>
    </row>
    <row r="2" spans="1:11" s="1" customFormat="1" x14ac:dyDescent="0.25">
      <c r="A2" s="1340" t="s">
        <v>1</v>
      </c>
      <c r="B2" s="1341"/>
      <c r="C2" s="1341"/>
      <c r="D2" s="1341"/>
      <c r="E2" s="1341"/>
      <c r="F2" s="1342"/>
    </row>
    <row r="3" spans="1:11" s="1" customFormat="1" x14ac:dyDescent="0.25">
      <c r="A3" s="1343"/>
      <c r="B3" s="1344"/>
      <c r="C3" s="1344"/>
      <c r="D3" s="1344"/>
      <c r="E3" s="1344"/>
      <c r="F3" s="1345"/>
    </row>
    <row r="4" spans="1:11" s="1" customFormat="1" x14ac:dyDescent="0.25">
      <c r="A4" s="836"/>
      <c r="B4" s="836"/>
      <c r="C4" s="836"/>
      <c r="D4" s="836"/>
      <c r="E4" s="836"/>
      <c r="F4" s="836"/>
    </row>
    <row r="5" spans="1:11" s="1" customFormat="1" x14ac:dyDescent="0.25">
      <c r="A5" s="1346" t="s">
        <v>772</v>
      </c>
      <c r="B5" s="1347"/>
      <c r="C5" s="1347"/>
      <c r="D5" s="1347"/>
      <c r="E5" s="1347"/>
      <c r="F5" s="1348"/>
    </row>
    <row r="6" spans="1:11" s="1" customFormat="1" x14ac:dyDescent="0.25">
      <c r="A6" s="836"/>
      <c r="B6" s="836"/>
      <c r="C6" s="836"/>
      <c r="D6" s="836"/>
      <c r="E6" s="836"/>
      <c r="F6" s="836"/>
    </row>
    <row r="8" spans="1:11" s="1" customFormat="1" ht="15.75" thickBot="1" x14ac:dyDescent="0.3">
      <c r="B8" s="1339" t="s">
        <v>773</v>
      </c>
      <c r="C8" s="1339"/>
      <c r="D8" s="1339"/>
      <c r="E8" s="1339"/>
      <c r="F8" s="1339"/>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31.83</v>
      </c>
      <c r="F10" s="839"/>
      <c r="G10" s="840"/>
    </row>
    <row r="11" spans="1:11" s="1" customFormat="1" ht="15.75" thickBot="1" x14ac:dyDescent="0.3">
      <c r="B11" s="842" t="s">
        <v>776</v>
      </c>
      <c r="C11" s="842" t="s">
        <v>777</v>
      </c>
      <c r="D11" s="842" t="s">
        <v>775</v>
      </c>
      <c r="E11" s="843">
        <f>E13+E17+E21+E22+E23+E24</f>
        <v>25.777563915498277</v>
      </c>
      <c r="F11" s="844"/>
      <c r="G11" s="845"/>
    </row>
    <row r="12" spans="1:11" s="1" customFormat="1" ht="15.75" thickBot="1" x14ac:dyDescent="0.3">
      <c r="B12" s="846" t="s">
        <v>778</v>
      </c>
      <c r="C12" s="846" t="s">
        <v>779</v>
      </c>
      <c r="D12" s="846" t="s">
        <v>775</v>
      </c>
      <c r="E12" s="847">
        <f>E13+E17+E22+E21</f>
        <v>17.399999999999999</v>
      </c>
      <c r="F12" s="848"/>
      <c r="G12" s="840"/>
    </row>
    <row r="13" spans="1:11" s="1" customFormat="1" ht="18.75" customHeight="1" x14ac:dyDescent="0.25">
      <c r="B13" s="849" t="s">
        <v>138</v>
      </c>
      <c r="C13" s="849" t="s">
        <v>712</v>
      </c>
      <c r="D13" s="850" t="s">
        <v>775</v>
      </c>
      <c r="E13" s="851">
        <f>SUM(E14:E16)</f>
        <v>4</v>
      </c>
      <c r="F13" s="852"/>
      <c r="G13" s="840"/>
    </row>
    <row r="14" spans="1:11" s="1" customFormat="1" x14ac:dyDescent="0.25">
      <c r="B14" s="853" t="s">
        <v>713</v>
      </c>
      <c r="C14" s="854" t="s">
        <v>690</v>
      </c>
      <c r="D14" s="853" t="s">
        <v>775</v>
      </c>
      <c r="E14" s="855">
        <v>0.5</v>
      </c>
      <c r="F14" s="856"/>
      <c r="G14" s="840"/>
    </row>
    <row r="15" spans="1:11" s="1" customFormat="1" x14ac:dyDescent="0.25">
      <c r="B15" s="853" t="s">
        <v>714</v>
      </c>
      <c r="C15" s="854" t="s">
        <v>692</v>
      </c>
      <c r="D15" s="853" t="s">
        <v>775</v>
      </c>
      <c r="E15" s="855">
        <v>0.5</v>
      </c>
      <c r="F15" s="856"/>
      <c r="G15" s="840"/>
      <c r="K15" s="857"/>
    </row>
    <row r="16" spans="1:11" s="1" customFormat="1" ht="15.75" thickBot="1" x14ac:dyDescent="0.3">
      <c r="B16" s="858" t="s">
        <v>715</v>
      </c>
      <c r="C16" s="859" t="s">
        <v>694</v>
      </c>
      <c r="D16" s="858" t="s">
        <v>775</v>
      </c>
      <c r="E16" s="860">
        <v>3</v>
      </c>
      <c r="F16" s="861"/>
    </row>
    <row r="17" spans="2:6" s="1" customFormat="1" ht="23.25" customHeight="1" x14ac:dyDescent="0.25">
      <c r="B17" s="862" t="s">
        <v>140</v>
      </c>
      <c r="C17" s="862" t="s">
        <v>716</v>
      </c>
      <c r="D17" s="863" t="s">
        <v>775</v>
      </c>
      <c r="E17" s="864">
        <f>SUM(E18:E20)</f>
        <v>9.59</v>
      </c>
      <c r="F17" s="865"/>
    </row>
    <row r="18" spans="2:6" s="1" customFormat="1" x14ac:dyDescent="0.25">
      <c r="B18" s="853" t="s">
        <v>717</v>
      </c>
      <c r="C18" s="854" t="s">
        <v>718</v>
      </c>
      <c r="D18" s="853" t="s">
        <v>775</v>
      </c>
      <c r="E18" s="855">
        <v>4.54</v>
      </c>
      <c r="F18" s="856"/>
    </row>
    <row r="19" spans="2:6" s="1" customFormat="1" x14ac:dyDescent="0.25">
      <c r="B19" s="853" t="s">
        <v>719</v>
      </c>
      <c r="C19" s="854" t="s">
        <v>698</v>
      </c>
      <c r="D19" s="853" t="s">
        <v>775</v>
      </c>
      <c r="E19" s="855">
        <v>3.77</v>
      </c>
      <c r="F19" s="856"/>
    </row>
    <row r="20" spans="2:6" s="1" customFormat="1" ht="15.75" thickBot="1" x14ac:dyDescent="0.3">
      <c r="B20" s="853" t="s">
        <v>720</v>
      </c>
      <c r="C20" s="854" t="s">
        <v>700</v>
      </c>
      <c r="D20" s="853" t="s">
        <v>775</v>
      </c>
      <c r="E20" s="855">
        <v>1.28</v>
      </c>
      <c r="F20" s="856"/>
    </row>
    <row r="21" spans="2:6" s="1" customFormat="1" ht="15.75" thickBot="1" x14ac:dyDescent="0.3">
      <c r="B21" s="866" t="s">
        <v>607</v>
      </c>
      <c r="C21" s="866" t="s">
        <v>721</v>
      </c>
      <c r="D21" s="867" t="s">
        <v>775</v>
      </c>
      <c r="E21" s="868">
        <v>0.89</v>
      </c>
      <c r="F21" s="839"/>
    </row>
    <row r="22" spans="2:6" s="1" customFormat="1" ht="15.75" thickBot="1" x14ac:dyDescent="0.3">
      <c r="B22" s="866" t="s">
        <v>722</v>
      </c>
      <c r="C22" s="869" t="s">
        <v>723</v>
      </c>
      <c r="D22" s="866" t="s">
        <v>775</v>
      </c>
      <c r="E22" s="868">
        <v>2.92</v>
      </c>
      <c r="F22" s="839"/>
    </row>
    <row r="23" spans="2:6" s="1" customFormat="1" ht="15.75" thickBot="1" x14ac:dyDescent="0.3">
      <c r="B23" s="837" t="s">
        <v>780</v>
      </c>
      <c r="C23" s="837" t="s">
        <v>781</v>
      </c>
      <c r="D23" s="837" t="s">
        <v>775</v>
      </c>
      <c r="E23" s="868">
        <v>2.5561378802610801</v>
      </c>
      <c r="F23" s="839"/>
    </row>
    <row r="24" spans="2:6" s="1" customFormat="1" ht="15.75" thickBot="1" x14ac:dyDescent="0.3">
      <c r="B24" s="837" t="s">
        <v>302</v>
      </c>
      <c r="C24" s="870" t="s">
        <v>782</v>
      </c>
      <c r="D24" s="837" t="s">
        <v>775</v>
      </c>
      <c r="E24" s="868">
        <v>5.8214260352371978</v>
      </c>
      <c r="F24" s="839"/>
    </row>
    <row r="25" spans="2:6" s="1" customFormat="1" ht="15.75" thickBot="1" x14ac:dyDescent="0.3">
      <c r="B25" s="846" t="s">
        <v>783</v>
      </c>
      <c r="C25" s="846" t="s">
        <v>784</v>
      </c>
      <c r="D25" s="846" t="s">
        <v>775</v>
      </c>
      <c r="E25" s="871">
        <v>6.0524360845017204</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947.54104166666673</v>
      </c>
      <c r="F27" s="877"/>
    </row>
    <row r="28" spans="2:6" s="1" customFormat="1" ht="15.75" thickBot="1" x14ac:dyDescent="0.3">
      <c r="B28" s="878" t="s">
        <v>790</v>
      </c>
      <c r="C28" s="879" t="s">
        <v>791</v>
      </c>
      <c r="D28" s="878" t="s">
        <v>770</v>
      </c>
      <c r="E28" s="880">
        <f>VAS073_F_Darbouzmokesci23IsViso</f>
        <v>45.481970000000004</v>
      </c>
      <c r="F28" s="881" t="s">
        <v>148</v>
      </c>
    </row>
    <row r="29" spans="2:6" s="1" customFormat="1" x14ac:dyDescent="0.25">
      <c r="B29" s="862" t="s">
        <v>69</v>
      </c>
      <c r="C29" s="850" t="s">
        <v>792</v>
      </c>
      <c r="D29" s="850" t="s">
        <v>789</v>
      </c>
      <c r="E29" s="882">
        <f>IFERROR(E30/E17/12*1000, 0)</f>
        <v>811.81265206812645</v>
      </c>
      <c r="F29" s="883"/>
    </row>
    <row r="30" spans="2:6" s="1" customFormat="1" ht="15.75" thickBot="1" x14ac:dyDescent="0.3">
      <c r="B30" s="884" t="s">
        <v>580</v>
      </c>
      <c r="C30" s="879" t="s">
        <v>793</v>
      </c>
      <c r="D30" s="878" t="s">
        <v>770</v>
      </c>
      <c r="E30" s="885">
        <f>VAS073_F_Darbouzmokesci24IsViso</f>
        <v>93.423400000000001</v>
      </c>
      <c r="F30" s="881" t="s">
        <v>148</v>
      </c>
    </row>
    <row r="31" spans="2:6" s="1" customFormat="1" x14ac:dyDescent="0.25">
      <c r="B31" s="846" t="s">
        <v>71</v>
      </c>
      <c r="C31" s="886" t="s">
        <v>794</v>
      </c>
      <c r="D31" s="850" t="s">
        <v>789</v>
      </c>
      <c r="E31" s="887">
        <f>IFERROR(E32/E21/12*1000, 0)</f>
        <v>1004.2855805243447</v>
      </c>
      <c r="F31" s="883"/>
    </row>
    <row r="32" spans="2:6" s="1" customFormat="1" ht="15.75" thickBot="1" x14ac:dyDescent="0.3">
      <c r="B32" s="884" t="s">
        <v>795</v>
      </c>
      <c r="C32" s="879" t="s">
        <v>796</v>
      </c>
      <c r="D32" s="878" t="s">
        <v>770</v>
      </c>
      <c r="E32" s="885">
        <f>VAS073_F_Darbouzmokesci25PavirsiniuNuoteku</f>
        <v>10.725770000000001</v>
      </c>
      <c r="F32" s="881" t="s">
        <v>148</v>
      </c>
    </row>
    <row r="33" spans="2:6" s="1" customFormat="1" x14ac:dyDescent="0.25">
      <c r="B33" s="850" t="s">
        <v>73</v>
      </c>
      <c r="C33" s="888" t="s">
        <v>797</v>
      </c>
      <c r="D33" s="846" t="s">
        <v>789</v>
      </c>
      <c r="E33" s="889">
        <f>IFERROR(E34/E22/12*1000, 0)</f>
        <v>1507.279394977169</v>
      </c>
      <c r="F33" s="890"/>
    </row>
    <row r="34" spans="2:6" s="1" customFormat="1" ht="15.75" thickBot="1" x14ac:dyDescent="0.3">
      <c r="B34" s="884" t="s">
        <v>798</v>
      </c>
      <c r="C34" s="879" t="s">
        <v>799</v>
      </c>
      <c r="D34" s="878" t="s">
        <v>770</v>
      </c>
      <c r="E34" s="885">
        <f>VAS073_F_Darbouzmokesci22ApskaitosVeikla</f>
        <v>52.815069999999999</v>
      </c>
      <c r="F34" s="881" t="s">
        <v>148</v>
      </c>
    </row>
    <row r="35" spans="2:6" s="1" customFormat="1" x14ac:dyDescent="0.25">
      <c r="B35" s="850" t="s">
        <v>75</v>
      </c>
      <c r="C35" s="863" t="s">
        <v>800</v>
      </c>
      <c r="D35" s="850" t="s">
        <v>789</v>
      </c>
      <c r="E35" s="891">
        <f>IFERROR(E36/E23/12*1000, 0)</f>
        <v>871.19270833333348</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26.722664193336918</v>
      </c>
      <c r="F36" s="881" t="s">
        <v>148</v>
      </c>
    </row>
    <row r="37" spans="2:6" s="1" customFormat="1" x14ac:dyDescent="0.25">
      <c r="B37" s="850" t="s">
        <v>466</v>
      </c>
      <c r="C37" s="863" t="s">
        <v>803</v>
      </c>
      <c r="D37" s="850" t="s">
        <v>789</v>
      </c>
      <c r="E37" s="891">
        <f>IFERROR(E38/E24/12*1000, 0)</f>
        <v>1068.5669482846906</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74.647001437661501</v>
      </c>
      <c r="F38" s="881" t="s">
        <v>148</v>
      </c>
    </row>
    <row r="39" spans="2:6" s="1" customFormat="1" ht="15.75" thickBot="1" x14ac:dyDescent="0.3">
      <c r="B39" s="892" t="s">
        <v>470</v>
      </c>
      <c r="C39" s="893" t="s">
        <v>806</v>
      </c>
      <c r="D39" s="894" t="s">
        <v>789</v>
      </c>
      <c r="E39" s="895">
        <f>IFERROR((E28+E30+E32+E34+E36+E38)/E11/12*1000, 0)</f>
        <v>982.17153951830835</v>
      </c>
      <c r="F39" s="896"/>
    </row>
    <row r="40" spans="2:6" s="1" customFormat="1" ht="26.25" thickBot="1" x14ac:dyDescent="0.3">
      <c r="B40" s="837" t="s">
        <v>474</v>
      </c>
      <c r="C40" s="897" t="s">
        <v>807</v>
      </c>
      <c r="D40" s="837" t="s">
        <v>775</v>
      </c>
      <c r="E40" s="898">
        <f>IFERROR((E12+E23)/E24, 0)</f>
        <v>3.428049718310636</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SLx46CIU0J2Uzp/d5gyeAd15Zn2j+/eG3E/8Bt/msLl9Szg/5TYShbNmOG/8cEiA8zdTBzudcIoFXoCVMe80Pw==" saltValue="5H1liRLO26xIheBA2OnRGJR/nKjPqKJ+qA6s1Gr4C7HCxOC4Bsobc/jhV4U4tbyPil9YSAlyxLfJ/3th0X42sA=="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83"/>
  <sheetViews>
    <sheetView topLeftCell="A55" workbookViewId="0">
      <selection activeCell="E81" sqref="E81:E83"/>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49" t="s">
        <v>0</v>
      </c>
      <c r="B1" s="1350"/>
      <c r="C1" s="1350"/>
      <c r="D1" s="1350"/>
      <c r="E1" s="1351"/>
    </row>
    <row r="2" spans="1:7" s="1" customFormat="1" x14ac:dyDescent="0.25">
      <c r="A2" s="1349" t="s">
        <v>1</v>
      </c>
      <c r="B2" s="1350"/>
      <c r="C2" s="1350"/>
      <c r="D2" s="1350"/>
      <c r="E2" s="1351"/>
    </row>
    <row r="3" spans="1:7" s="1" customFormat="1" x14ac:dyDescent="0.25">
      <c r="A3" s="1352"/>
      <c r="B3" s="1353"/>
      <c r="C3" s="1353"/>
      <c r="D3" s="1353"/>
      <c r="E3" s="1354"/>
    </row>
    <row r="4" spans="1:7" s="1" customFormat="1" x14ac:dyDescent="0.25">
      <c r="A4" s="901"/>
      <c r="B4" s="901"/>
      <c r="C4" s="901"/>
      <c r="D4" s="901"/>
      <c r="E4" s="901"/>
    </row>
    <row r="5" spans="1:7" s="1" customFormat="1" x14ac:dyDescent="0.25">
      <c r="A5" s="1355" t="s">
        <v>808</v>
      </c>
      <c r="B5" s="1356"/>
      <c r="C5" s="1356"/>
      <c r="D5" s="1356"/>
      <c r="E5" s="1357"/>
    </row>
    <row r="6" spans="1:7" s="1" customFormat="1" x14ac:dyDescent="0.25">
      <c r="A6" s="901"/>
      <c r="B6" s="901"/>
      <c r="C6" s="901"/>
      <c r="D6" s="901"/>
      <c r="E6" s="901"/>
    </row>
    <row r="8" spans="1:7" s="1" customFormat="1" ht="27" customHeight="1" thickBot="1" x14ac:dyDescent="0.3">
      <c r="B8" s="1276" t="s">
        <v>809</v>
      </c>
      <c r="C8" s="1276"/>
      <c r="D8" s="1276"/>
      <c r="E8" s="1276"/>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548.9</v>
      </c>
      <c r="F11" s="916"/>
      <c r="G11" s="907"/>
    </row>
    <row r="12" spans="1:7" s="1" customFormat="1" ht="15.75" thickBot="1" x14ac:dyDescent="0.3">
      <c r="B12" s="917">
        <v>2</v>
      </c>
      <c r="C12" s="918" t="s">
        <v>813</v>
      </c>
      <c r="D12" s="919" t="s">
        <v>742</v>
      </c>
      <c r="E12" s="920">
        <v>182.5</v>
      </c>
      <c r="F12" s="906"/>
      <c r="G12" s="907"/>
    </row>
    <row r="13" spans="1:7" s="1" customFormat="1" x14ac:dyDescent="0.25">
      <c r="B13" s="921">
        <v>3</v>
      </c>
      <c r="C13" s="922" t="s">
        <v>814</v>
      </c>
      <c r="D13" s="923" t="s">
        <v>742</v>
      </c>
      <c r="E13" s="924">
        <v>544</v>
      </c>
      <c r="F13" s="906"/>
      <c r="G13" s="907"/>
    </row>
    <row r="14" spans="1:7" s="1" customFormat="1" x14ac:dyDescent="0.25">
      <c r="B14" s="925" t="s">
        <v>815</v>
      </c>
      <c r="C14" s="926" t="s">
        <v>816</v>
      </c>
      <c r="D14" s="927" t="s">
        <v>742</v>
      </c>
      <c r="E14" s="928">
        <v>0</v>
      </c>
      <c r="F14" s="929"/>
      <c r="G14" s="907"/>
    </row>
    <row r="15" spans="1:7" s="1" customFormat="1" ht="15.75" thickBot="1" x14ac:dyDescent="0.3">
      <c r="B15" s="930" t="s">
        <v>817</v>
      </c>
      <c r="C15" s="931" t="s">
        <v>818</v>
      </c>
      <c r="D15" s="932" t="s">
        <v>742</v>
      </c>
      <c r="E15" s="933">
        <v>0</v>
      </c>
      <c r="F15" s="929"/>
    </row>
    <row r="16" spans="1:7" s="1" customFormat="1" x14ac:dyDescent="0.25">
      <c r="B16" s="921" t="s">
        <v>819</v>
      </c>
      <c r="C16" s="922" t="s">
        <v>820</v>
      </c>
      <c r="D16" s="934" t="s">
        <v>742</v>
      </c>
      <c r="E16" s="935">
        <f>E17+E21+E23</f>
        <v>324.14949999999999</v>
      </c>
      <c r="F16" s="906"/>
    </row>
    <row r="17" spans="2:7" s="1" customFormat="1" x14ac:dyDescent="0.25">
      <c r="B17" s="936" t="s">
        <v>821</v>
      </c>
      <c r="C17" s="937" t="s">
        <v>822</v>
      </c>
      <c r="D17" s="938" t="s">
        <v>742</v>
      </c>
      <c r="E17" s="939">
        <f>E18+E20</f>
        <v>256.2715</v>
      </c>
      <c r="F17" s="929"/>
    </row>
    <row r="18" spans="2:7" s="1" customFormat="1" x14ac:dyDescent="0.25">
      <c r="B18" s="925" t="s">
        <v>823</v>
      </c>
      <c r="C18" s="926" t="s">
        <v>824</v>
      </c>
      <c r="D18" s="927" t="s">
        <v>742</v>
      </c>
      <c r="E18" s="940">
        <v>83.756</v>
      </c>
      <c r="F18" s="941"/>
    </row>
    <row r="19" spans="2:7" s="1" customFormat="1" x14ac:dyDescent="0.25">
      <c r="B19" s="942" t="s">
        <v>825</v>
      </c>
      <c r="C19" s="943" t="s">
        <v>818</v>
      </c>
      <c r="D19" s="944" t="s">
        <v>742</v>
      </c>
      <c r="E19" s="940">
        <v>0</v>
      </c>
      <c r="F19" s="945"/>
    </row>
    <row r="20" spans="2:7" s="1" customFormat="1" x14ac:dyDescent="0.25">
      <c r="B20" s="925" t="s">
        <v>826</v>
      </c>
      <c r="C20" s="926" t="s">
        <v>827</v>
      </c>
      <c r="D20" s="927" t="s">
        <v>742</v>
      </c>
      <c r="E20" s="940">
        <v>172.5155</v>
      </c>
      <c r="F20" s="946"/>
    </row>
    <row r="21" spans="2:7" s="1" customFormat="1" x14ac:dyDescent="0.25">
      <c r="B21" s="936" t="s">
        <v>828</v>
      </c>
      <c r="C21" s="937" t="s">
        <v>829</v>
      </c>
      <c r="D21" s="938" t="s">
        <v>742</v>
      </c>
      <c r="E21" s="947">
        <v>67.878</v>
      </c>
      <c r="F21" s="929"/>
    </row>
    <row r="22" spans="2:7" s="1" customFormat="1" x14ac:dyDescent="0.25">
      <c r="B22" s="925" t="s">
        <v>830</v>
      </c>
      <c r="C22" s="926" t="s">
        <v>831</v>
      </c>
      <c r="D22" s="927" t="s">
        <v>742</v>
      </c>
      <c r="E22" s="940">
        <v>1.9</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0</v>
      </c>
      <c r="F24" s="929"/>
      <c r="G24" s="952"/>
    </row>
    <row r="25" spans="2:7" s="1" customFormat="1" x14ac:dyDescent="0.25">
      <c r="B25" s="953" t="s">
        <v>836</v>
      </c>
      <c r="C25" s="954" t="s">
        <v>837</v>
      </c>
      <c r="D25" s="955" t="s">
        <v>742</v>
      </c>
      <c r="E25" s="956">
        <f>E11-E16-E24</f>
        <v>224.75049999999999</v>
      </c>
      <c r="F25" s="906"/>
    </row>
    <row r="26" spans="2:7" s="1" customFormat="1" x14ac:dyDescent="0.25">
      <c r="B26" s="957" t="s">
        <v>838</v>
      </c>
      <c r="C26" s="926" t="s">
        <v>839</v>
      </c>
      <c r="D26" s="927" t="s">
        <v>742</v>
      </c>
      <c r="E26" s="958">
        <f>E11-E13</f>
        <v>4.8999999999999773</v>
      </c>
      <c r="F26" s="907"/>
      <c r="G26" s="959"/>
    </row>
    <row r="27" spans="2:7" s="1" customFormat="1" x14ac:dyDescent="0.25">
      <c r="B27" s="957" t="s">
        <v>840</v>
      </c>
      <c r="C27" s="926" t="s">
        <v>841</v>
      </c>
      <c r="D27" s="927" t="s">
        <v>742</v>
      </c>
      <c r="E27" s="958">
        <f>E13-E16-E24-E29</f>
        <v>303.60649999999998</v>
      </c>
      <c r="F27" s="907"/>
      <c r="G27" s="959"/>
    </row>
    <row r="28" spans="2:7" s="1" customFormat="1" x14ac:dyDescent="0.25">
      <c r="B28" s="925" t="s">
        <v>842</v>
      </c>
      <c r="C28" s="926" t="s">
        <v>843</v>
      </c>
      <c r="D28" s="927" t="s">
        <v>742</v>
      </c>
      <c r="E28" s="960">
        <f>$E$14-$E$18</f>
        <v>-83.756</v>
      </c>
      <c r="F28" s="906"/>
    </row>
    <row r="29" spans="2:7" s="1" customFormat="1" x14ac:dyDescent="0.25">
      <c r="B29" s="942" t="s">
        <v>844</v>
      </c>
      <c r="C29" s="943" t="s">
        <v>845</v>
      </c>
      <c r="D29" s="944" t="s">
        <v>742</v>
      </c>
      <c r="E29" s="961">
        <f>$E$14-$E$18</f>
        <v>-83.756</v>
      </c>
      <c r="F29" s="906"/>
    </row>
    <row r="30" spans="2:7" s="1" customFormat="1" ht="15.75" thickBot="1" x14ac:dyDescent="0.3">
      <c r="B30" s="942" t="s">
        <v>846</v>
      </c>
      <c r="C30" s="962" t="s">
        <v>847</v>
      </c>
      <c r="D30" s="963" t="s">
        <v>742</v>
      </c>
      <c r="E30" s="964">
        <f>E15-E19</f>
        <v>0</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641.68000000000006</v>
      </c>
      <c r="F32" s="906"/>
    </row>
    <row r="33" spans="2:6" s="1" customFormat="1" x14ac:dyDescent="0.25">
      <c r="B33" s="925" t="s">
        <v>851</v>
      </c>
      <c r="C33" s="926" t="s">
        <v>852</v>
      </c>
      <c r="D33" s="927" t="s">
        <v>742</v>
      </c>
      <c r="E33" s="965">
        <v>639.1</v>
      </c>
      <c r="F33" s="907"/>
    </row>
    <row r="34" spans="2:6" s="1" customFormat="1" ht="15.75" thickBot="1" x14ac:dyDescent="0.3">
      <c r="B34" s="925" t="s">
        <v>853</v>
      </c>
      <c r="C34" s="966" t="s">
        <v>854</v>
      </c>
      <c r="D34" s="927" t="s">
        <v>742</v>
      </c>
      <c r="E34" s="965">
        <v>2.58</v>
      </c>
      <c r="F34" s="907"/>
    </row>
    <row r="35" spans="2:6" s="1" customFormat="1" ht="26.25" thickBot="1" x14ac:dyDescent="0.3">
      <c r="B35" s="967" t="s">
        <v>855</v>
      </c>
      <c r="C35" s="968" t="s">
        <v>856</v>
      </c>
      <c r="D35" s="969" t="s">
        <v>742</v>
      </c>
      <c r="E35" s="970">
        <v>195</v>
      </c>
      <c r="F35" s="971"/>
    </row>
    <row r="36" spans="2:6" s="1" customFormat="1" ht="15.75" thickBot="1" x14ac:dyDescent="0.3">
      <c r="B36" s="948" t="s">
        <v>857</v>
      </c>
      <c r="C36" s="949" t="s">
        <v>858</v>
      </c>
      <c r="D36" s="969" t="s">
        <v>742</v>
      </c>
      <c r="E36" s="951">
        <v>639.1</v>
      </c>
      <c r="F36" s="906"/>
    </row>
    <row r="37" spans="2:6" s="1" customFormat="1" ht="15.75" thickBot="1" x14ac:dyDescent="0.3">
      <c r="B37" s="972" t="s">
        <v>859</v>
      </c>
      <c r="C37" s="973" t="s">
        <v>860</v>
      </c>
      <c r="D37" s="923" t="s">
        <v>742</v>
      </c>
      <c r="E37" s="974">
        <v>639.1</v>
      </c>
      <c r="F37" s="975"/>
    </row>
    <row r="38" spans="2:6" s="1" customFormat="1" ht="26.25" thickBot="1" x14ac:dyDescent="0.3">
      <c r="B38" s="976" t="s">
        <v>861</v>
      </c>
      <c r="C38" s="977" t="s">
        <v>862</v>
      </c>
      <c r="D38" s="978" t="s">
        <v>742</v>
      </c>
      <c r="E38" s="979">
        <f>E39+E43+E46</f>
        <v>195.03399999999999</v>
      </c>
      <c r="F38" s="907"/>
    </row>
    <row r="39" spans="2:6" s="1" customFormat="1" x14ac:dyDescent="0.25">
      <c r="B39" s="921" t="s">
        <v>863</v>
      </c>
      <c r="C39" s="922" t="s">
        <v>864</v>
      </c>
      <c r="D39" s="923" t="s">
        <v>742</v>
      </c>
      <c r="E39" s="935">
        <f>E40+E42</f>
        <v>155.88999999999999</v>
      </c>
      <c r="F39" s="929"/>
    </row>
    <row r="40" spans="2:6" s="1" customFormat="1" x14ac:dyDescent="0.25">
      <c r="B40" s="925" t="s">
        <v>865</v>
      </c>
      <c r="C40" s="926" t="s">
        <v>866</v>
      </c>
      <c r="D40" s="927" t="s">
        <v>742</v>
      </c>
      <c r="E40" s="965">
        <v>78.37</v>
      </c>
      <c r="F40" s="907"/>
    </row>
    <row r="41" spans="2:6" s="1" customFormat="1" x14ac:dyDescent="0.25">
      <c r="B41" s="942" t="s">
        <v>867</v>
      </c>
      <c r="C41" s="943" t="s">
        <v>868</v>
      </c>
      <c r="D41" s="944" t="s">
        <v>742</v>
      </c>
      <c r="E41" s="940">
        <v>0</v>
      </c>
      <c r="F41" s="945"/>
    </row>
    <row r="42" spans="2:6" s="1" customFormat="1" ht="15.75" thickBot="1" x14ac:dyDescent="0.3">
      <c r="B42" s="930" t="s">
        <v>869</v>
      </c>
      <c r="C42" s="931" t="s">
        <v>827</v>
      </c>
      <c r="D42" s="932" t="s">
        <v>742</v>
      </c>
      <c r="E42" s="933">
        <v>77.52</v>
      </c>
      <c r="F42" s="946"/>
    </row>
    <row r="43" spans="2:6" s="1" customFormat="1" x14ac:dyDescent="0.25">
      <c r="B43" s="921" t="s">
        <v>870</v>
      </c>
      <c r="C43" s="922" t="s">
        <v>871</v>
      </c>
      <c r="D43" s="923" t="s">
        <v>742</v>
      </c>
      <c r="E43" s="924">
        <v>39.143999999999998</v>
      </c>
      <c r="F43" s="929"/>
    </row>
    <row r="44" spans="2:6" s="1" customFormat="1" x14ac:dyDescent="0.25">
      <c r="B44" s="925" t="s">
        <v>872</v>
      </c>
      <c r="C44" s="980" t="s">
        <v>873</v>
      </c>
      <c r="D44" s="944" t="s">
        <v>742</v>
      </c>
      <c r="E44" s="965">
        <v>41.453000000000003</v>
      </c>
      <c r="F44" s="907"/>
    </row>
    <row r="45" spans="2:6" s="1" customFormat="1" ht="15.75" thickBot="1" x14ac:dyDescent="0.3">
      <c r="B45" s="981" t="s">
        <v>874</v>
      </c>
      <c r="C45" s="982" t="s">
        <v>875</v>
      </c>
      <c r="D45" s="932" t="s">
        <v>742</v>
      </c>
      <c r="E45" s="983">
        <v>41.44</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446.64600000000007</v>
      </c>
      <c r="F47" s="945"/>
    </row>
    <row r="48" spans="2:6" s="1" customFormat="1" x14ac:dyDescent="0.25">
      <c r="B48" s="925" t="s">
        <v>880</v>
      </c>
      <c r="C48" s="926" t="s">
        <v>881</v>
      </c>
      <c r="D48" s="927" t="s">
        <v>742</v>
      </c>
      <c r="E48" s="984">
        <f>E47-E49</f>
        <v>525.01600000000008</v>
      </c>
      <c r="F48" s="929"/>
    </row>
    <row r="49" spans="2:6" s="1" customFormat="1" x14ac:dyDescent="0.25">
      <c r="B49" s="925" t="s">
        <v>882</v>
      </c>
      <c r="C49" s="926" t="s">
        <v>883</v>
      </c>
      <c r="D49" s="927" t="s">
        <v>742</v>
      </c>
      <c r="E49" s="984">
        <f>E14-E40</f>
        <v>-78.37</v>
      </c>
      <c r="F49" s="929"/>
    </row>
    <row r="50" spans="2:6" s="1" customFormat="1" ht="15.75" thickBot="1" x14ac:dyDescent="0.3">
      <c r="B50" s="930" t="s">
        <v>884</v>
      </c>
      <c r="C50" s="985" t="s">
        <v>885</v>
      </c>
      <c r="D50" s="932" t="s">
        <v>742</v>
      </c>
      <c r="E50" s="986">
        <v>0</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342.35</v>
      </c>
    </row>
    <row r="53" spans="2:6" s="1" customFormat="1" x14ac:dyDescent="0.25">
      <c r="B53" s="988" t="s">
        <v>889</v>
      </c>
      <c r="C53" s="989" t="s">
        <v>890</v>
      </c>
      <c r="D53" s="927" t="s">
        <v>742</v>
      </c>
      <c r="E53" s="990">
        <v>171.18</v>
      </c>
    </row>
    <row r="54" spans="2:6" s="1" customFormat="1" ht="15.75" thickBot="1" x14ac:dyDescent="0.3">
      <c r="B54" s="991" t="s">
        <v>891</v>
      </c>
      <c r="C54" s="992" t="s">
        <v>892</v>
      </c>
      <c r="D54" s="993" t="s">
        <v>742</v>
      </c>
      <c r="E54" s="994">
        <v>171.17</v>
      </c>
      <c r="F54" s="975"/>
    </row>
    <row r="55" spans="2:6" s="1" customFormat="1" ht="15.75" thickBot="1" x14ac:dyDescent="0.3">
      <c r="B55" s="948" t="s">
        <v>893</v>
      </c>
      <c r="C55" s="949" t="s">
        <v>894</v>
      </c>
      <c r="D55" s="950" t="s">
        <v>742</v>
      </c>
      <c r="E55" s="951">
        <v>0</v>
      </c>
    </row>
    <row r="56" spans="2:6" s="1" customFormat="1" x14ac:dyDescent="0.25">
      <c r="B56" s="921" t="s">
        <v>895</v>
      </c>
      <c r="C56" s="922" t="s">
        <v>896</v>
      </c>
      <c r="D56" s="923" t="s">
        <v>742</v>
      </c>
      <c r="E56" s="924">
        <v>342.35599999999999</v>
      </c>
    </row>
    <row r="57" spans="2:6" s="1" customFormat="1" x14ac:dyDescent="0.25">
      <c r="B57" s="981" t="s">
        <v>897</v>
      </c>
      <c r="C57" s="989" t="s">
        <v>890</v>
      </c>
      <c r="D57" s="927" t="s">
        <v>742</v>
      </c>
      <c r="E57" s="920">
        <v>171.18</v>
      </c>
    </row>
    <row r="58" spans="2:6" s="1" customFormat="1" ht="15.75" thickBot="1" x14ac:dyDescent="0.3">
      <c r="B58" s="981" t="s">
        <v>898</v>
      </c>
      <c r="C58" s="992" t="s">
        <v>892</v>
      </c>
      <c r="D58" s="993" t="s">
        <v>742</v>
      </c>
      <c r="E58" s="983">
        <v>171.17599999999999</v>
      </c>
    </row>
    <row r="59" spans="2:6" s="1" customFormat="1" ht="15.75" thickBot="1" x14ac:dyDescent="0.3">
      <c r="B59" s="995" t="s">
        <v>899</v>
      </c>
      <c r="C59" s="996" t="s">
        <v>900</v>
      </c>
      <c r="D59" s="997" t="s">
        <v>742</v>
      </c>
      <c r="E59" s="998">
        <f>E52-E56</f>
        <v>-5.9999999999718057E-3</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40.945618509746765</v>
      </c>
    </row>
    <row r="62" spans="2:6" s="1" customFormat="1" ht="15.75" thickBot="1" x14ac:dyDescent="0.3">
      <c r="B62" s="1002" t="s">
        <v>905</v>
      </c>
      <c r="C62" s="1003" t="s">
        <v>906</v>
      </c>
      <c r="D62" s="1003" t="s">
        <v>904</v>
      </c>
      <c r="E62" s="1004">
        <f>IF(E11=0,0,E26/E11*100)</f>
        <v>0.89269447986882444</v>
      </c>
    </row>
    <row r="63" spans="2:6" s="1" customFormat="1" ht="26.25" thickBot="1" x14ac:dyDescent="0.3">
      <c r="B63" s="999" t="s">
        <v>907</v>
      </c>
      <c r="C63" s="1000" t="s">
        <v>908</v>
      </c>
      <c r="D63" s="1000" t="s">
        <v>904</v>
      </c>
      <c r="E63" s="1001">
        <f>IF(E32=0,0,E47/E32*100)</f>
        <v>69.605722478493959</v>
      </c>
    </row>
    <row r="64" spans="2:6" s="1" customFormat="1" ht="26.25" thickBot="1" x14ac:dyDescent="0.3">
      <c r="B64" s="1005" t="s">
        <v>909</v>
      </c>
      <c r="C64" s="1006" t="s">
        <v>910</v>
      </c>
      <c r="D64" s="1006" t="s">
        <v>904</v>
      </c>
      <c r="E64" s="1007">
        <f>IF(E52=0,0,E59/E52*100)</f>
        <v>-1.752592376214928E-3</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11515</v>
      </c>
    </row>
    <row r="67" spans="2:6" s="1" customFormat="1" ht="15.75" thickBot="1" x14ac:dyDescent="0.3">
      <c r="B67" s="948" t="s">
        <v>914</v>
      </c>
      <c r="C67" s="950" t="s">
        <v>915</v>
      </c>
      <c r="D67" s="1009" t="s">
        <v>916</v>
      </c>
      <c r="E67" s="1010">
        <v>5118</v>
      </c>
    </row>
    <row r="68" spans="2:6" s="1" customFormat="1" x14ac:dyDescent="0.25">
      <c r="B68" s="921" t="s">
        <v>917</v>
      </c>
      <c r="C68" s="923" t="s">
        <v>918</v>
      </c>
      <c r="D68" s="934" t="s">
        <v>916</v>
      </c>
      <c r="E68" s="1011">
        <f>E69+E72+E73+E74+E75</f>
        <v>6536</v>
      </c>
    </row>
    <row r="69" spans="2:6" s="1" customFormat="1" x14ac:dyDescent="0.25">
      <c r="B69" s="981" t="s">
        <v>919</v>
      </c>
      <c r="C69" s="927" t="s">
        <v>920</v>
      </c>
      <c r="D69" s="927" t="s">
        <v>916</v>
      </c>
      <c r="E69" s="1012">
        <f>SUM(E70:E71)</f>
        <v>4884</v>
      </c>
    </row>
    <row r="70" spans="2:6" s="1" customFormat="1" x14ac:dyDescent="0.25">
      <c r="B70" s="942" t="s">
        <v>921</v>
      </c>
      <c r="C70" s="1013" t="s">
        <v>922</v>
      </c>
      <c r="D70" s="944" t="s">
        <v>916</v>
      </c>
      <c r="E70" s="1014">
        <v>2015</v>
      </c>
    </row>
    <row r="71" spans="2:6" s="1" customFormat="1" x14ac:dyDescent="0.25">
      <c r="B71" s="942" t="s">
        <v>923</v>
      </c>
      <c r="C71" s="1013" t="s">
        <v>924</v>
      </c>
      <c r="D71" s="944" t="s">
        <v>916</v>
      </c>
      <c r="E71" s="1014">
        <v>2869</v>
      </c>
    </row>
    <row r="72" spans="2:6" s="1" customFormat="1" x14ac:dyDescent="0.25">
      <c r="B72" s="925" t="s">
        <v>925</v>
      </c>
      <c r="C72" s="927" t="s">
        <v>926</v>
      </c>
      <c r="D72" s="927" t="s">
        <v>916</v>
      </c>
      <c r="E72" s="1015">
        <v>1228</v>
      </c>
      <c r="F72" s="1016"/>
    </row>
    <row r="73" spans="2:6" s="1" customFormat="1" x14ac:dyDescent="0.25">
      <c r="B73" s="925" t="s">
        <v>927</v>
      </c>
      <c r="C73" s="927" t="s">
        <v>928</v>
      </c>
      <c r="D73" s="927" t="s">
        <v>916</v>
      </c>
      <c r="E73" s="1015">
        <v>106</v>
      </c>
      <c r="F73" s="1016"/>
    </row>
    <row r="74" spans="2:6" s="1" customFormat="1" x14ac:dyDescent="0.25">
      <c r="B74" s="991" t="s">
        <v>929</v>
      </c>
      <c r="C74" s="1017" t="s">
        <v>930</v>
      </c>
      <c r="D74" s="1018" t="s">
        <v>916</v>
      </c>
      <c r="E74" s="1019">
        <v>318</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235</v>
      </c>
    </row>
    <row r="77" spans="2:6" s="1" customFormat="1" x14ac:dyDescent="0.25">
      <c r="B77" s="925" t="s">
        <v>935</v>
      </c>
      <c r="C77" s="927" t="s">
        <v>936</v>
      </c>
      <c r="D77" s="927" t="s">
        <v>916</v>
      </c>
      <c r="E77" s="1015">
        <v>153</v>
      </c>
    </row>
    <row r="78" spans="2:6" s="1" customFormat="1" x14ac:dyDescent="0.25">
      <c r="B78" s="981" t="s">
        <v>937</v>
      </c>
      <c r="C78" s="993" t="s">
        <v>938</v>
      </c>
      <c r="D78" s="993" t="s">
        <v>916</v>
      </c>
      <c r="E78" s="1008">
        <v>80</v>
      </c>
    </row>
    <row r="79" spans="2:6" s="1" customFormat="1" ht="15.75" thickBot="1" x14ac:dyDescent="0.3">
      <c r="B79" s="925" t="s">
        <v>939</v>
      </c>
      <c r="C79" s="927" t="s">
        <v>940</v>
      </c>
      <c r="D79" s="927" t="s">
        <v>916</v>
      </c>
      <c r="E79" s="1015">
        <v>2</v>
      </c>
    </row>
    <row r="80" spans="2:6" s="1" customFormat="1" x14ac:dyDescent="0.25">
      <c r="B80" s="921" t="s">
        <v>941</v>
      </c>
      <c r="C80" s="923" t="s">
        <v>942</v>
      </c>
      <c r="D80" s="1025" t="s">
        <v>916</v>
      </c>
      <c r="E80" s="1026">
        <f>SUM(E81:E83)</f>
        <v>6453</v>
      </c>
    </row>
    <row r="81" spans="2:5" s="1" customFormat="1" x14ac:dyDescent="0.25">
      <c r="B81" s="988" t="s">
        <v>943</v>
      </c>
      <c r="C81" s="1027" t="s">
        <v>944</v>
      </c>
      <c r="D81" s="1027" t="s">
        <v>916</v>
      </c>
      <c r="E81" s="1028">
        <v>5037</v>
      </c>
    </row>
    <row r="82" spans="2:5" s="1" customFormat="1" x14ac:dyDescent="0.25">
      <c r="B82" s="981" t="s">
        <v>945</v>
      </c>
      <c r="C82" s="993" t="s">
        <v>946</v>
      </c>
      <c r="D82" s="993" t="s">
        <v>916</v>
      </c>
      <c r="E82" s="1008">
        <v>1308</v>
      </c>
    </row>
    <row r="83" spans="2:5" s="1" customFormat="1" ht="15.75" thickBot="1" x14ac:dyDescent="0.3">
      <c r="B83" s="1020" t="s">
        <v>947</v>
      </c>
      <c r="C83" s="1022" t="s">
        <v>948</v>
      </c>
      <c r="D83" s="1022" t="s">
        <v>916</v>
      </c>
      <c r="E83" s="1023">
        <v>108</v>
      </c>
    </row>
  </sheetData>
  <sheetProtection algorithmName="SHA-512" hashValue="AX+eHbcA4MTpzGLQwSvVm2bsZ+AnJ0ZpVw4z3EnazV5TCv/6NRrH4tDermuJFd1PDRhKCGBRrCHDHdgu9Un6WQ==" saltValue="mg5FZnQlf7TUhSxeTk+r45NRrzaAFAUf4QjJIglO2GqOxOUwhB6BPSORvDNMxkPpRmPNeMBgvmeL8IlRTlpmdQ=="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Vilnius economics</cp:lastModifiedBy>
  <dcterms:created xsi:type="dcterms:W3CDTF">2020-03-06T22:12:23Z</dcterms:created>
  <dcterms:modified xsi:type="dcterms:W3CDTF">2020-04-22T13:50:23Z</dcterms:modified>
</cp:coreProperties>
</file>